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PcKzNFibMmucEaf6O7Kq8gzEQi7ymf5jlg57IVe/MJBkJhIg4wHEWJU4G9l7diOaHfwiw2VqyW5imIEsRGYiGg==" workbookSaltValue="+JuMI/iUgMG+IISqaaVFN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AY14" i="8"/>
  <c r="BD9" i="8"/>
  <c r="BF9" i="8"/>
  <c r="C30" i="7"/>
  <c r="AO14" i="21"/>
  <c r="AP14" i="16"/>
  <c r="T23" i="17"/>
  <c r="T26" i="17" s="1"/>
  <c r="T30" i="17" s="1"/>
  <c r="BG16" i="13"/>
  <c r="BE17" i="13"/>
  <c r="BE16" i="13"/>
  <c r="X32" i="20"/>
  <c r="G30" i="14"/>
  <c r="G23" i="14"/>
  <c r="BF18" i="8" l="1"/>
  <c r="J18" i="7" s="1"/>
  <c r="BF17" i="8"/>
  <c r="AK31" i="8"/>
  <c r="BD12" i="8"/>
  <c r="H12" i="7" s="1"/>
  <c r="Z14" i="17"/>
  <c r="R8" i="9"/>
  <c r="AA28" i="16" s="1"/>
  <c r="X22" i="17"/>
  <c r="X18" i="17"/>
  <c r="X20" i="20"/>
  <c r="V12" i="16"/>
  <c r="X25" i="16"/>
  <c r="X30" i="16" s="1"/>
  <c r="S12" i="14"/>
  <c r="V12" i="14" s="1"/>
  <c r="S17" i="14"/>
  <c r="V17" i="14" s="1"/>
  <c r="R10" i="14"/>
  <c r="R17" i="14"/>
  <c r="R25" i="14"/>
  <c r="AM9" i="11"/>
  <c r="T21" i="11"/>
  <c r="T29" i="11"/>
  <c r="T9" i="11"/>
  <c r="S16" i="14"/>
  <c r="V16" i="14" s="1"/>
  <c r="T20" i="11"/>
  <c r="AA10" i="16"/>
  <c r="X12" i="17"/>
  <c r="X9" i="17"/>
  <c r="X22" i="20"/>
  <c r="V12" i="21"/>
  <c r="V18" i="16"/>
  <c r="V21" i="16"/>
  <c r="L11" i="2"/>
  <c r="U13" i="17"/>
  <c r="X16" i="16"/>
  <c r="X23" i="16" s="1"/>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BI18" i="16"/>
  <c r="B29" i="6"/>
  <c r="AN9" i="11"/>
  <c r="K9" i="7"/>
  <c r="AO11" i="11"/>
  <c r="AL9" i="11"/>
  <c r="H12" i="2"/>
  <c r="H10" i="2"/>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E11" i="6"/>
  <c r="E28" i="6"/>
  <c r="AL11" i="11"/>
  <c r="B11" i="6"/>
  <c r="J21" i="2"/>
  <c r="AN11" i="11"/>
  <c r="AM21" i="11"/>
  <c r="AN13" i="11"/>
  <c r="B21" i="6"/>
  <c r="J12" i="2"/>
  <c r="H9" i="2"/>
  <c r="D19" i="6"/>
  <c r="BI17" i="16"/>
  <c r="L11" i="14"/>
  <c r="E20" i="6"/>
  <c r="H16" i="2"/>
  <c r="T10" i="2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J31" i="8"/>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K10" i="7"/>
  <c r="H25" i="7"/>
  <c r="AM16" i="11"/>
  <c r="AN20" i="11"/>
  <c r="J12" i="7"/>
  <c r="I23" i="2"/>
  <c r="J23" i="2" s="1"/>
  <c r="B12" i="6"/>
  <c r="F20" i="2"/>
  <c r="C11" i="6"/>
  <c r="E17" i="6"/>
  <c r="D17" i="2"/>
  <c r="L9" i="14"/>
  <c r="C29" i="6"/>
  <c r="I29" i="12" s="1"/>
  <c r="AL10" i="11"/>
  <c r="C10" i="6"/>
  <c r="C9" i="6"/>
  <c r="E16" i="6"/>
  <c r="K16" i="12" s="1"/>
  <c r="E23" i="2"/>
  <c r="F23" i="2" s="1"/>
  <c r="F16" i="2"/>
  <c r="AL22" i="11"/>
  <c r="H20" i="2"/>
  <c r="H18" i="7"/>
  <c r="AN18" i="11"/>
  <c r="H18" i="2"/>
  <c r="BI16" i="16"/>
  <c r="G23" i="2"/>
  <c r="J20" i="2"/>
  <c r="C20" i="6"/>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M13" i="11"/>
  <c r="J9" i="2"/>
  <c r="AO9" i="17"/>
  <c r="B22" i="6"/>
  <c r="AN22" i="11"/>
  <c r="L22" i="14"/>
  <c r="C22" i="6"/>
  <c r="J22" i="2"/>
  <c r="J20" i="7"/>
  <c r="BC33" i="21"/>
  <c r="BE14" i="19"/>
  <c r="Q31" i="19"/>
  <c r="X31" i="19"/>
  <c r="AF31" i="19"/>
  <c r="AN31" i="19"/>
  <c r="BI31" i="19"/>
  <c r="AY31" i="19"/>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T19" i="20" l="1"/>
  <c r="V16" i="16"/>
  <c r="X18" i="20"/>
  <c r="X10" i="17"/>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BK21" i="11"/>
  <c r="BK11" i="11"/>
  <c r="V11" i="11"/>
  <c r="AZ18" i="11"/>
  <c r="BI25" i="11"/>
  <c r="AP10" i="21"/>
  <c r="BM12" i="11"/>
  <c r="AP21" i="20"/>
  <c r="V13" i="11"/>
  <c r="BH20" i="16"/>
  <c r="V9" i="11"/>
  <c r="BJ11" i="11"/>
  <c r="BI19" i="11"/>
  <c r="BH22" i="16"/>
  <c r="BJ16" i="11"/>
  <c r="R10" i="21"/>
  <c r="R14" i="21" s="1"/>
  <c r="R31" i="21" s="1"/>
  <c r="AP22" i="20"/>
  <c r="BF11" i="11"/>
  <c r="BH21" i="16"/>
  <c r="BL9" i="11"/>
  <c r="BH18" i="16"/>
  <c r="BF19" i="11"/>
  <c r="BJ19" i="11"/>
  <c r="BL18" i="11"/>
  <c r="BI28" i="11"/>
  <c r="BK12" i="11"/>
  <c r="BF25" i="11"/>
  <c r="S18" i="16"/>
  <c r="AZ29" i="11"/>
  <c r="BK16" i="11"/>
  <c r="BJ21" i="11"/>
  <c r="V21" i="11"/>
  <c r="BF22" i="11"/>
  <c r="BH9" i="11"/>
  <c r="BI16" i="11"/>
  <c r="BJ29" i="11"/>
  <c r="BM13" i="11"/>
  <c r="BJ12" i="11"/>
  <c r="BI18" i="11"/>
  <c r="BG9" i="11"/>
  <c r="S28" i="14"/>
  <c r="V28" i="14" s="1"/>
  <c r="BL11" i="11"/>
  <c r="BH28" i="16"/>
  <c r="R18" i="20"/>
  <c r="R23" i="20" s="1"/>
  <c r="V29" i="11"/>
  <c r="BL21" i="11"/>
  <c r="V22" i="11"/>
  <c r="BK18" i="11"/>
  <c r="AZ21" i="11"/>
  <c r="T18" i="16"/>
  <c r="AO28" i="17"/>
  <c r="BL29" i="11"/>
  <c r="BJ25" i="11"/>
  <c r="T16" i="16"/>
  <c r="AZ16" i="11"/>
  <c r="AZ23" i="11" s="1"/>
  <c r="BW20" i="20"/>
  <c r="BU16" i="17"/>
  <c r="BV19" i="16"/>
  <c r="BW19" i="20"/>
  <c r="BV18" i="16"/>
  <c r="X20" i="16"/>
  <c r="BW18" i="20"/>
  <c r="BU10" i="17"/>
  <c r="BV12" i="16"/>
  <c r="BW25" i="20"/>
  <c r="BW12" i="20"/>
  <c r="BU22" i="17"/>
  <c r="BV16" i="16"/>
  <c r="T18" i="11"/>
  <c r="S20" i="14"/>
  <c r="V20" i="14" s="1"/>
  <c r="BH16" i="11"/>
  <c r="P18" i="17"/>
  <c r="BF29" i="11"/>
  <c r="BK19" i="11"/>
  <c r="BG29" i="11"/>
  <c r="Q10" i="21"/>
  <c r="BK25" i="11"/>
  <c r="BH20" i="11"/>
  <c r="AP16" i="20"/>
  <c r="AZ13" i="11"/>
  <c r="V20" i="11"/>
  <c r="BL25" i="11"/>
  <c r="BG19" i="11"/>
  <c r="AZ9" i="11"/>
  <c r="BM20" i="11"/>
  <c r="BJ28" i="11"/>
  <c r="BU28" i="17"/>
  <c r="BU11" i="17"/>
  <c r="BW9" i="20"/>
  <c r="BU21" i="17"/>
  <c r="BV17" i="16"/>
  <c r="BW17" i="20"/>
  <c r="BV25" i="16"/>
  <c r="X21" i="16"/>
  <c r="BW11" i="20"/>
  <c r="BU9" i="17"/>
  <c r="S21" i="17"/>
  <c r="BU19" i="17"/>
  <c r="BW28" i="20"/>
  <c r="BW10" i="20"/>
  <c r="BU13" i="17"/>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P17" i="11" s="1"/>
  <c r="S18" i="17"/>
  <c r="BM21" i="11"/>
  <c r="P21" i="11" s="1"/>
  <c r="BM9" i="11"/>
  <c r="AO25" i="17"/>
  <c r="BH12" i="16"/>
  <c r="BJ17" i="11"/>
  <c r="BK22" i="11"/>
  <c r="BL17" i="11"/>
  <c r="BH22" i="11"/>
  <c r="L10" i="2"/>
  <c r="L28" i="2"/>
  <c r="X21" i="20"/>
  <c r="S16" i="17"/>
  <c r="S17" i="17"/>
  <c r="L12" i="2"/>
  <c r="L25" i="2"/>
  <c r="L13" i="2"/>
  <c r="X10" i="21"/>
  <c r="L19" i="2"/>
  <c r="U9" i="17"/>
  <c r="U31" i="17" s="1"/>
  <c r="L9" i="2"/>
  <c r="V25" i="16"/>
  <c r="X13" i="16"/>
  <c r="BH11" i="16"/>
  <c r="BK13" i="11"/>
  <c r="BH19" i="16"/>
  <c r="BM29" i="11"/>
  <c r="BH19" i="11"/>
  <c r="BK9" i="11"/>
  <c r="S9" i="17"/>
  <c r="BI10" i="11"/>
  <c r="BM25" i="11"/>
  <c r="V28" i="11"/>
  <c r="BJ20" i="11"/>
  <c r="BG16" i="11"/>
  <c r="BH13" i="11"/>
  <c r="BL13" i="11"/>
  <c r="BH18" i="11"/>
  <c r="BM16" i="11"/>
  <c r="AP26" i="21"/>
  <c r="AP18" i="20"/>
  <c r="BG21" i="11"/>
  <c r="BU25" i="17"/>
  <c r="BV28" i="16"/>
  <c r="BV13" i="16"/>
  <c r="BW13" i="20"/>
  <c r="BV21" i="16"/>
  <c r="BU29" i="17"/>
  <c r="BV11" i="16"/>
  <c r="BW16" i="20"/>
  <c r="BU20" i="17"/>
  <c r="U10" i="17"/>
  <c r="BW29" i="20"/>
  <c r="BV10" i="16"/>
  <c r="BW22" i="20"/>
  <c r="BU18" i="17"/>
  <c r="BV29" i="16"/>
  <c r="S11" i="17"/>
  <c r="BU17" i="17"/>
  <c r="BV20" i="16"/>
  <c r="AZ22" i="11"/>
  <c r="AA20" i="16"/>
  <c r="R28" i="14"/>
  <c r="AZ17" i="11"/>
  <c r="X16" i="17"/>
  <c r="BF20" i="11"/>
  <c r="BF23" i="11" s="1"/>
  <c r="T17" i="11"/>
  <c r="S16" i="16"/>
  <c r="P16" i="17"/>
  <c r="BL20" i="11"/>
  <c r="Q20" i="11" s="1"/>
  <c r="BF12" i="11"/>
  <c r="BL16" i="11"/>
  <c r="BH25" i="16"/>
  <c r="BH21" i="11"/>
  <c r="BK20" i="11"/>
  <c r="AZ25" i="11"/>
  <c r="AZ30" i="11" s="1"/>
  <c r="BJ10" i="11"/>
  <c r="BK17" i="11"/>
  <c r="BK23" i="11" s="1"/>
  <c r="Q16" i="17"/>
  <c r="BM18" i="11"/>
  <c r="BF16" i="11"/>
  <c r="BH17" i="11"/>
  <c r="BL22" i="11"/>
  <c r="AQ12" i="21"/>
  <c r="BI22" i="11"/>
  <c r="BH25" i="11"/>
  <c r="BK10" i="11"/>
  <c r="BI21" i="11"/>
  <c r="L22" i="2"/>
  <c r="L29" i="2"/>
  <c r="L16" i="2"/>
  <c r="L17" i="2"/>
  <c r="X19" i="16"/>
  <c r="L18" i="2"/>
  <c r="L20" i="2"/>
  <c r="AA11" i="16"/>
  <c r="L21" i="2"/>
  <c r="AA9" i="16"/>
  <c r="V9" i="16"/>
  <c r="T28" i="11"/>
  <c r="T19" i="11"/>
  <c r="R22" i="14"/>
  <c r="R11" i="14"/>
  <c r="S21" i="14"/>
  <c r="V21" i="14" s="1"/>
  <c r="S10" i="14"/>
  <c r="V10" i="14" s="1"/>
  <c r="AP14" i="20"/>
  <c r="AO13" i="17"/>
  <c r="AO18" i="17"/>
  <c r="AM20" i="11"/>
  <c r="AM22" i="11"/>
  <c r="AM25" i="11"/>
  <c r="AQ26" i="21"/>
  <c r="AO26" i="17"/>
  <c r="V10" i="21"/>
  <c r="V14" i="21" s="1"/>
  <c r="V31" i="21" s="1"/>
  <c r="AO17" i="17"/>
  <c r="P25" i="11"/>
  <c r="AO12" i="17"/>
  <c r="AM11" i="11"/>
  <c r="AO21" i="17"/>
  <c r="BH30" i="16"/>
  <c r="X22" i="16"/>
  <c r="X12" i="16"/>
  <c r="X9" i="16"/>
  <c r="X31" i="16" s="1"/>
  <c r="AZ28" i="11"/>
  <c r="S22" i="17"/>
  <c r="X17" i="20"/>
  <c r="U10" i="21"/>
  <c r="X11" i="17"/>
  <c r="X21" i="17"/>
  <c r="X17" i="17"/>
  <c r="X25" i="17"/>
  <c r="T16" i="11"/>
  <c r="S9" i="14"/>
  <c r="V9" i="14" s="1"/>
  <c r="T11" i="11"/>
  <c r="T25" i="11"/>
  <c r="T13" i="11"/>
  <c r="R29" i="14"/>
  <c r="R19" i="14"/>
  <c r="R12" i="14"/>
  <c r="S29" i="14"/>
  <c r="V29" i="14" s="1"/>
  <c r="S19" i="14"/>
  <c r="V19" i="14" s="1"/>
  <c r="S13" i="17"/>
  <c r="V16" i="20"/>
  <c r="V23" i="20" s="1"/>
  <c r="V19" i="16"/>
  <c r="V10" i="16"/>
  <c r="AA12" i="21"/>
  <c r="X19" i="20"/>
  <c r="T18" i="20"/>
  <c r="AA16" i="16"/>
  <c r="X13" i="17"/>
  <c r="AA17" i="16"/>
  <c r="AA25" i="16"/>
  <c r="V13" i="16"/>
  <c r="T22" i="11"/>
  <c r="T12" i="11"/>
  <c r="R18" i="14"/>
  <c r="S18" i="14"/>
  <c r="V18" i="14" s="1"/>
  <c r="S13" i="14"/>
  <c r="V13" i="14" s="1"/>
  <c r="R13" i="14"/>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BV14" i="16"/>
  <c r="D31" i="12"/>
  <c r="I18" i="12"/>
  <c r="BW33" i="20"/>
  <c r="Q21" i="11"/>
  <c r="P9" i="11"/>
  <c r="Q29" i="11"/>
  <c r="P29" i="11"/>
  <c r="Q10" i="11"/>
  <c r="D11" i="6"/>
  <c r="E11" i="3"/>
  <c r="BC26" i="8"/>
  <c r="BF26" i="8" s="1"/>
  <c r="Q12" i="1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M30" i="14"/>
  <c r="P30" i="14"/>
  <c r="O14" i="11"/>
  <c r="O31" i="11"/>
  <c r="AU32" i="17"/>
  <c r="BR32" i="16"/>
  <c r="BP32" i="16"/>
  <c r="AX32" i="21"/>
  <c r="O12" i="11"/>
  <c r="H32" i="17"/>
  <c r="AW32" i="11"/>
  <c r="AV32" i="21"/>
  <c r="K32" i="20"/>
  <c r="AN30" i="17" l="1"/>
  <c r="AN33" i="17" s="1"/>
  <c r="AQ17" i="11"/>
  <c r="BJ23" i="11"/>
  <c r="Q25" i="11"/>
  <c r="BV23" i="16"/>
  <c r="BV26" i="16" s="1"/>
  <c r="BV30" i="16" s="1"/>
  <c r="Q9" i="11"/>
  <c r="AZ14" i="11"/>
  <c r="AZ31" i="11"/>
  <c r="S30" i="14"/>
  <c r="S14" i="14"/>
  <c r="BI23" i="11"/>
  <c r="U14" i="17"/>
  <c r="P20" i="11"/>
  <c r="Q23" i="17"/>
  <c r="Q31" i="17" s="1"/>
  <c r="P23" i="17"/>
  <c r="P31" i="17" s="1"/>
  <c r="P13" i="11"/>
  <c r="Q13" i="11"/>
  <c r="BK14" i="11"/>
  <c r="BK31" i="11" s="1"/>
  <c r="AZ26" i="11"/>
  <c r="S26" i="14"/>
  <c r="K22" i="12"/>
  <c r="AF31" i="11"/>
  <c r="AE31" i="11"/>
  <c r="I21" i="12"/>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W32" i="11"/>
  <c r="K32" i="21"/>
  <c r="BA32" i="16"/>
  <c r="AN32" i="17"/>
  <c r="X32" i="11"/>
  <c r="BC32" i="16"/>
  <c r="AZ32" i="11"/>
  <c r="AF32" i="11"/>
  <c r="Q32" i="11"/>
  <c r="U32" i="20"/>
  <c r="BH32" i="16"/>
  <c r="AO32" i="11"/>
  <c r="J32" i="21"/>
  <c r="O32" i="21"/>
  <c r="L32" i="21"/>
  <c r="Y32" i="11"/>
  <c r="AK32" i="17"/>
  <c r="Z32" i="16"/>
  <c r="AW32" i="21"/>
  <c r="O32" i="16"/>
  <c r="H32" i="12"/>
  <c r="BE32" i="16"/>
  <c r="AT32" i="16"/>
  <c r="AI32" i="21"/>
  <c r="AE32" i="11"/>
  <c r="BM32" i="16"/>
  <c r="I32" i="21"/>
  <c r="AB32" i="17"/>
  <c r="BS32" i="16"/>
  <c r="F32" i="21"/>
  <c r="AR32" i="21"/>
  <c r="M32" i="17"/>
  <c r="AL32" i="17"/>
  <c r="Z32" i="11"/>
  <c r="AS32" i="17"/>
  <c r="BQ32" i="16"/>
  <c r="G32" i="12"/>
  <c r="AM32" i="21"/>
  <c r="E32" i="17"/>
  <c r="AM32" i="16"/>
  <c r="AV32" i="11"/>
  <c r="AR32" i="16"/>
  <c r="F32" i="17"/>
  <c r="AH32" i="21"/>
  <c r="AO32" i="21"/>
  <c r="V32" i="20"/>
  <c r="AA32" i="16"/>
  <c r="E32" i="11"/>
  <c r="AF32" i="16"/>
  <c r="AA32" i="17"/>
  <c r="X32" i="17"/>
  <c r="U32" i="11"/>
  <c r="AH32" i="17"/>
  <c r="AK32" i="21"/>
  <c r="U32" i="17"/>
  <c r="Q32" i="17"/>
  <c r="V32" i="21"/>
  <c r="E32" i="12"/>
  <c r="AD32" i="21"/>
  <c r="Y32" i="21"/>
  <c r="Y32" i="17"/>
  <c r="P32" i="21"/>
  <c r="AK32" i="11"/>
  <c r="H32" i="16"/>
  <c r="L32" i="16"/>
  <c r="AU32" i="16"/>
  <c r="AN32" i="11"/>
  <c r="N32" i="11"/>
  <c r="AU32" i="11"/>
  <c r="AS32" i="16"/>
  <c r="AG32" i="17"/>
  <c r="I32" i="11"/>
  <c r="AR32" i="11"/>
  <c r="AJ32" i="21"/>
  <c r="AV32" i="16"/>
  <c r="F31" i="2" l="1"/>
  <c r="BM31" i="1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<sst xmlns="http://schemas.openxmlformats.org/spreadsheetml/2006/main" count="2682" uniqueCount="1192">
  <si>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</si>
  <si>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</si>
  <si>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</si>
  <si>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</si>
  <si>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</si>
  <si>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</si>
  <si>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</si>
  <si>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</si>
  <si>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</si>
  <si>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</si>
  <si>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</si>
  <si>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</si>
  <si>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</si>
  <si>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</si>
  <si>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</si>
  <si>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</si>
  <si>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</si>
  <si>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</si>
  <si>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</si>
  <si>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</si>
  <si>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</si>
  <si>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</si>
  <si>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</si>
  <si>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</si>
  <si>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</si>
  <si>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</si>
  <si>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</si>
  <si>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</si>
  <si>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</si>
  <si>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</si>
  <si>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</si>
  <si>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</si>
  <si>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</si>
  <si>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</si>
  <si>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</si>
  <si>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</si>
  <si>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</si>
  <si>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</si>
  <si>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</si>
  <si>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</si>
  <si>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</si>
  <si>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</si>
  <si>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</si>
  <si>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</si>
  <si>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</si>
  <si>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</si>
  <si>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</si>
  <si>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</si>
  <si>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</si>
  <si>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</si>
  <si>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</si>
  <si>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</si>
  <si>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</si>
  <si>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</si>
  <si>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</si>
  <si>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</si>
  <si>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</si>
  <si>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</si>
  <si>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</si>
  <si>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</si>
  <si>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</si>
  <si>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</si>
  <si>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</si>
  <si>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</si>
  <si>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</si>
  <si>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</si>
  <si>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</si>
  <si>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</si>
  <si>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</si>
  <si>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</si>
  <si>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</si>
  <si>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</si>
  <si>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</si>
  <si>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</si>
  <si>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</si>
  <si>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</si>
  <si>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</si>
  <si>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</si>
  <si>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</si>
  <si>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</si>
  <si>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</si>
  <si>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</si>
  <si>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</si>
  <si>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</si>
  <si>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</si>
  <si>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</si>
  <si>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</si>
  <si>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</si>
  <si>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</si>
  <si>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</si>
  <si>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</si>
  <si>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</si>
  <si>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</si>
  <si>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</si>
  <si>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</si>
  <si>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</si>
  <si>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</si>
  <si>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</si>
  <si>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</si>
  <si>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</si>
  <si>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</si>
  <si>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</si>
  <si>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</si>
  <si>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</si>
  <si>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</si>
  <si>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</si>
  <si>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</si>
  <si>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</si>
  <si>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</si>
  <si>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</si>
  <si>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</si>
  <si>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</si>
  <si>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</si>
  <si>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</si>
  <si>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</si>
  <si>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</si>
  <si>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</si>
  <si>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</si>
  <si>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</si>
  <si>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</si>
  <si>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</si>
  <si>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</si>
  <si>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</si>
  <si>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</si>
  <si>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</si>
  <si>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</si>
  <si>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</si>
  <si>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</si>
  <si>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</si>
  <si>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</si>
  <si>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</si>
  <si>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</si>
  <si>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</si>
  <si>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</si>
  <si>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</si>
  <si>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</si>
  <si>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</si>
  <si>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</si>
  <si>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</si>
  <si>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</si>
  <si>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</si>
  <si>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</si>
  <si>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</si>
  <si>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</si>
  <si>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</si>
  <si>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</si>
  <si>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</si>
  <si>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</si>
  <si>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</si>
  <si>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</si>
  <si>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</si>
  <si>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</si>
  <si>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</si>
  <si>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</si>
  <si>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</si>
  <si>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</si>
  <si>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</si>
  <si>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</si>
  <si>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</si>
  <si>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</si>
  <si>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</si>
  <si>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</si>
  <si>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</si>
  <si>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</si>
  <si>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</si>
  <si>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</si>
  <si>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</si>
  <si>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</si>
  <si>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</si>
  <si>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</si>
  <si>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</si>
  <si>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</si>
  <si>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</si>
  <si>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</si>
  <si>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</si>
  <si>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</si>
  <si>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</si>
  <si>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</si>
  <si>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</si>
  <si>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</si>
  <si>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</si>
  <si>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</si>
  <si>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</si>
  <si>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</si>
  <si>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</si>
  <si>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</si>
  <si>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</si>
  <si>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</si>
  <si>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</si>
  <si>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</si>
  <si>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</si>
  <si>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</si>
  <si>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</si>
  <si>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</si>
  <si>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</si>
  <si>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</si>
  <si>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</si>
  <si>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</si>
  <si>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</si>
  <si>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</si>
  <si>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</si>
  <si>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</si>
  <si>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</si>
  <si>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</si>
  <si>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</si>
  <si>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</si>
  <si>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</si>
  <si>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</si>
  <si>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</si>
  <si>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</si>
  <si>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</si>
  <si>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</si>
  <si>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</si>
  <si>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</si>
  <si>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</si>
  <si>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</si>
  <si>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</si>
  <si>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</si>
  <si>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</si>
  <si>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</si>
  <si>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</si>
  <si>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</si>
  <si>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</si>
  <si>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</si>
  <si>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</si>
  <si>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</si>
  <si>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</si>
  <si>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</si>
  <si>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</si>
  <si>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</si>
  <si>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</si>
  <si>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</si>
  <si>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</si>
  <si>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</si>
  <si>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</si>
  <si>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</si>
  <si>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</si>
  <si>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</si>
  <si>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</si>
  <si>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</si>
  <si>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</si>
  <si>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</si>
  <si>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</si>
  <si>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</si>
  <si>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</si>
  <si>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</si>
  <si>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</si>
  <si>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</si>
  <si>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</si>
  <si>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</si>
  <si>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</si>
  <si>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</si>
  <si>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</si>
  <si>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</si>
  <si>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</si>
  <si>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</si>
  <si>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</si>
  <si>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</si>
  <si>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</si>
  <si>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</si>
  <si>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</si>
  <si>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</si>
  <si>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</si>
  <si>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</si>
  <si>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</si>
  <si>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</si>
  <si>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</si>
  <si>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</si>
  <si>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</si>
  <si>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</si>
  <si>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</si>
  <si>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</si>
  <si>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</si>
  <si>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</si>
  <si>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</si>
  <si>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</si>
  <si>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</si>
  <si>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</si>
  <si>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</si>
  <si>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</si>
  <si>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</si>
  <si>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</si>
  <si>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</si>
  <si>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</si>
  <si>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</si>
  <si>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</si>
  <si>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</si>
  <si>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</si>
  <si>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</si>
  <si>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</si>
  <si>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</si>
  <si>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</si>
  <si>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</si>
  <si>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</si>
  <si>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</si>
  <si>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</si>
  <si>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</si>
  <si>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</si>
  <si>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</si>
  <si>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</si>
  <si>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</si>
  <si>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</si>
  <si>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</si>
  <si>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</si>
  <si>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</si>
  <si>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</si>
  <si>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</si>
  <si>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</si>
  <si>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</si>
  <si>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</si>
  <si>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</si>
  <si>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</si>
  <si>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</si>
  <si>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</si>
  <si>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</si>
  <si>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</si>
  <si>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</si>
  <si>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</si>
  <si>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</si>
  <si>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</si>
  <si>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</si>
  <si>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</si>
  <si>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</si>
  <si>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</si>
  <si>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</si>
  <si>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</si>
  <si>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</si>
  <si>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</si>
  <si>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</si>
  <si>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</si>
  <si>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</si>
  <si>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</si>
  <si>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</si>
  <si>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</si>
  <si>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</si>
  <si>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</si>
  <si>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</si>
  <si>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</si>
  <si>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</si>
  <si>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</si>
  <si>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</si>
  <si>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</si>
  <si>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</si>
  <si>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</si>
  <si>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</si>
  <si>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</si>
  <si>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</si>
  <si>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</si>
  <si>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</si>
  <si>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</si>
  <si>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</si>
  <si>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</si>
  <si>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</si>
  <si>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</si>
  <si>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</si>
  <si>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</si>
  <si>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</si>
  <si>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</si>
  <si>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</si>
  <si>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</si>
  <si>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</si>
  <si>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</si>
  <si>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</si>
  <si>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</si>
  <si>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</si>
  <si>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</si>
  <si>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</si>
  <si>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</si>
  <si>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</si>
  <si>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</si>
  <si>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</si>
  <si>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</si>
  <si>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</si>
  <si>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</si>
  <si>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</si>
  <si>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</si>
  <si>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</si>
  <si>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</si>
  <si>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</si>
  <si>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</si>
  <si>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</si>
  <si>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</si>
  <si>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</si>
  <si>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</si>
  <si>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</si>
  <si>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</si>
  <si>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</si>
  <si>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</si>
  <si>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</si>
  <si>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</si>
  <si>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</si>
  <si>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</si>
  <si>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</si>
  <si>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</si>
  <si>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</si>
  <si>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</si>
  <si>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</si>
  <si>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</si>
  <si>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</si>
  <si>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</si>
  <si>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</si>
  <si>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</si>
  <si>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</si>
  <si>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</si>
  <si>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</si>
  <si>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</si>
  <si>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</si>
  <si>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</si>
  <si>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</si>
  <si>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</si>
  <si>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</si>
  <si>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</si>
  <si>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</si>
  <si>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</si>
  <si>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</si>
  <si>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</si>
  <si>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</si>
  <si>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</si>
  <si>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</si>
  <si>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</si>
  <si>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</si>
  <si>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</si>
  <si>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</si>
  <si>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</si>
  <si>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</si>
  <si>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</si>
  <si>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</si>
  <si>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</si>
  <si>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</si>
  <si>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</si>
  <si>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</si>
  <si>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</si>
  <si>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</si>
  <si>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</si>
  <si>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</si>
  <si>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</si>
  <si>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</si>
  <si>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</si>
  <si>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</si>
  <si>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</si>
  <si>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</si>
  <si>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</si>
  <si>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</si>
  <si>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</si>
  <si>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</si>
  <si>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</si>
  <si>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</si>
  <si>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</si>
  <si>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</si>
  <si>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</si>
  <si>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</si>
  <si>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</si>
  <si>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</si>
  <si>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</si>
  <si>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</si>
  <si>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</si>
  <si>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</si>
  <si>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</si>
  <si>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</si>
  <si>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</si>
  <si>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</si>
  <si>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</si>
  <si>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</si>
  <si>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</si>
  <si>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</si>
  <si>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</si>
  <si>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</si>
  <si>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</si>
  <si>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</si>
  <si>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</si>
  <si>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</si>
  <si>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</si>
  <si>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</si>
  <si>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</si>
  <si>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</si>
  <si>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</si>
  <si>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</si>
  <si>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</si>
  <si>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</si>
  <si>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</si>
  <si>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</si>
  <si>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</si>
  <si>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</si>
  <si>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</si>
  <si>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</si>
  <si>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</si>
  <si>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</si>
  <si>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</si>
  <si>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</si>
  <si>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</si>
  <si>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</si>
  <si>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</si>
  <si>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</si>
  <si>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</si>
  <si>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</si>
  <si>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</si>
  <si>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</si>
  <si>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</si>
  <si>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</si>
  <si>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</si>
  <si>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</si>
  <si>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</si>
  <si>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</si>
  <si>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</si>
  <si>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</si>
  <si>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</si>
  <si>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</si>
  <si>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</si>
  <si>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</si>
  <si>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</si>
  <si>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</si>
  <si>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</si>
  <si>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</si>
  <si>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</si>
  <si>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</si>
  <si>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</si>
  <si>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</si>
  <si>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</si>
  <si>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</si>
  <si>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</si>
  <si>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</si>
  <si>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</si>
  <si>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</si>
  <si>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</si>
  <si>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</si>
  <si>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</si>
  <si>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</si>
  <si>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</si>
  <si>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</si>
  <si>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</si>
  <si>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</si>
  <si>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</si>
  <si>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</si>
  <si>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</si>
  <si>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</si>
  <si>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</si>
  <si>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</si>
  <si>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</si>
  <si>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</si>
  <si>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</si>
  <si>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</si>
  <si>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</si>
  <si>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</si>
  <si>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</si>
  <si>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</si>
  <si>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</si>
  <si>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</si>
  <si>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</si>
  <si>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</si>
  <si>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</si>
  <si>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</si>
  <si>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</si>
  <si>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</si>
  <si>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</si>
  <si>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</si>
  <si>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</si>
  <si>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</si>
  <si>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</si>
  <si>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</si>
  <si>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</si>
  <si>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</si>
  <si>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</si>
  <si>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</si>
  <si>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</si>
  <si>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</si>
  <si>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</si>
  <si>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</si>
  <si>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</si>
  <si>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</si>
  <si>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</si>
  <si>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</si>
  <si>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</si>
  <si>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</si>
  <si>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</si>
  <si>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</si>
  <si>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</si>
  <si>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</si>
  <si>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</si>
  <si>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</si>
  <si>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</si>
  <si>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</si>
  <si>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</si>
  <si>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</si>
  <si>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</si>
  <si>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</si>
  <si>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</si>
  <si>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</si>
  <si>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</si>
  <si>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</si>
  <si>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</si>
  <si>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</si>
  <si>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</si>
  <si>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</si>
  <si>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</si>
  <si>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</si>
  <si>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</si>
  <si>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</si>
  <si>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</si>
  <si>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</si>
  <si>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</si>
  <si>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</si>
  <si>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</si>
  <si>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</si>
  <si>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</si>
  <si>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</si>
  <si>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</si>
  <si>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</si>
  <si>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</si>
  <si>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</si>
  <si>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</si>
  <si>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</si>
  <si>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</si>
  <si>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</si>
  <si>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</si>
  <si>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</si>
  <si>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</si>
  <si>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</si>
  <si>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</si>
  <si>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</si>
  <si>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</si>
  <si>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</si>
  <si>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</si>
  <si>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</si>
  <si>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</si>
  <si>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</si>
  <si>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</si>
  <si>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</si>
  <si>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</si>
  <si>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</si>
  <si>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</si>
  <si>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</si>
  <si>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</si>
  <si>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</si>
  <si>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</si>
  <si>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</si>
  <si>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</si>
  <si>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</si>
  <si>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</si>
  <si>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</si>
  <si>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</si>
  <si>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</si>
  <si>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</si>
  <si>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</si>
  <si>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</si>
  <si>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</si>
  <si>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</si>
  <si>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</si>
  <si>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</si>
  <si>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</si>
  <si>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</si>
  <si>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</si>
  <si>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</si>
  <si>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</si>
  <si>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</si>
  <si>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</si>
  <si>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</si>
  <si>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</si>
  <si>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</si>
  <si>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</si>
  <si>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</si>
  <si>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</si>
  <si>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</si>
  <si>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</si>
  <si>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</si>
  <si>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</si>
  <si>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</si>
  <si>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</si>
  <si>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</si>
  <si>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</si>
  <si>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</si>
  <si>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</si>
  <si>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</si>
  <si>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</si>
  <si>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</si>
  <si>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</si>
  <si>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</si>
  <si>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</si>
  <si>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</si>
  <si>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</si>
  <si>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</si>
  <si>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</si>
  <si>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</si>
  <si>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</si>
  <si>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</si>
  <si>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</si>
  <si>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</si>
  <si>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</si>
  <si>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</si>
  <si>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</si>
  <si>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</si>
  <si>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</si>
  <si>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</si>
  <si>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</si>
  <si>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</si>
  <si>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</si>
  <si>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</si>
  <si>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</si>
  <si>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</si>
  <si>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</si>
  <si>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</si>
  <si>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</si>
  <si>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</si>
  <si>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</si>
  <si>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</si>
  <si>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</si>
  <si>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</si>
  <si>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</si>
  <si>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</si>
  <si>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</si>
  <si>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</si>
  <si>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</si>
  <si>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</si>
  <si>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</si>
  <si>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</si>
  <si>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</si>
  <si>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</si>
  <si>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</si>
  <si>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</si>
  <si>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</si>
  <si>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</si>
  <si>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</si>
  <si>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</si>
  <si>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</si>
  <si>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</si>
  <si>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</si>
  <si>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</si>
  <si>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</si>
  <si>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</si>
  <si>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</si>
  <si>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</si>
  <si>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</si>
  <si>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</si>
  <si>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</si>
  <si>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</si>
  <si>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</si>
  <si>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</si>
  <si>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</si>
  <si>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</si>
  <si>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</si>
  <si>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</si>
  <si>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</si>
  <si>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</si>
  <si>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</si>
  <si>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</si>
  <si>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</si>
  <si>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</si>
  <si>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</si>
  <si>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</si>
  <si>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</si>
  <si>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</si>
  <si>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</si>
  <si>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</si>
  <si>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</si>
  <si>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</si>
  <si>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</si>
  <si>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</si>
  <si>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</si>
  <si>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</si>
  <si>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</si>
  <si>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</si>
  <si>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</si>
  <si>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</si>
  <si>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</si>
  <si>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</si>
  <si>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</si>
  <si>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</si>
  <si>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</si>
  <si>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</si>
  <si>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</si>
  <si>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</si>
  <si>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</si>
  <si>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</si>
  <si>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</si>
  <si>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</si>
  <si>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</si>
  <si>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</si>
  <si>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</si>
  <si>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</si>
  <si>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</si>
  <si>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</si>
  <si>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</si>
  <si>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</si>
  <si>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</si>
  <si>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</si>
  <si>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</si>
  <si>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</si>
  <si>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</si>
  <si>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</si>
  <si>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</si>
  <si>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</si>
  <si>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</si>
  <si>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</si>
  <si>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</si>
  <si>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</si>
  <si>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</si>
  <si>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</si>
  <si>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</si>
  <si>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</si>
  <si>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</si>
  <si>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</si>
  <si>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</si>
  <si>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</si>
  <si>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</si>
  <si>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</si>
  <si>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</si>
  <si>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</si>
  <si>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</si>
  <si>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</si>
  <si>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</si>
  <si>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</si>
  <si>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</si>
  <si>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</si>
  <si>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</si>
  <si>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</si>
  <si>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</si>
  <si>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</si>
  <si>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</si>
  <si>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</si>
  <si>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</si>
  <si>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</si>
  <si>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</si>
  <si>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</si>
  <si>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</si>
  <si>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</si>
  <si>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</si>
  <si>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</si>
  <si>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</si>
  <si>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</si>
  <si>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</si>
  <si>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</si>
  <si>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</si>
  <si>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</si>
  <si>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</si>
  <si>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</si>
  <si>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</si>
  <si>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</si>
  <si>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</si>
  <si>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</si>
  <si>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</si>
  <si>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</si>
  <si>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</si>
  <si>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</si>
  <si>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</si>
  <si>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</si>
  <si>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</si>
  <si>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</si>
  <si>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</si>
  <si>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</si>
  <si>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</si>
  <si>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</si>
  <si>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</si>
  <si>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</si>
  <si>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</si>
  <si>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</si>
  <si>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</si>
  <si>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</si>
  <si>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</si>
  <si>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</si>
  <si>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</si>
  <si>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</si>
  <si>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</si>
  <si>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</si>
  <si>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</si>
  <si>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</si>
  <si>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</si>
  <si>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</si>
  <si>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</si>
  <si>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</si>
  <si>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</si>
  <si>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</si>
  <si>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</si>
  <si>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</si>
  <si>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</si>
  <si>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</si>
  <si>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</si>
  <si>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</si>
  <si>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</si>
  <si>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</si>
  <si>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</si>
  <si>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</si>
  <si>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</si>
  <si>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</si>
  <si>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</si>
  <si>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</si>
  <si>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</si>
  <si>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</si>
  <si>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</si>
  <si>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</si>
  <si>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</si>
  <si>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</si>
  <si>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</si>
  <si>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</si>
  <si>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</si>
  <si>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</si>
  <si>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</si>
  <si>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</si>
  <si>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</si>
  <si>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</si>
  <si>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</si>
  <si>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</si>
  <si>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</si>
  <si>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</si>
  <si>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</si>
  <si>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</si>
  <si>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</si>
  <si>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</si>
  <si>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</si>
  <si>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</si>
  <si>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</si>
  <si>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</si>
  <si>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</si>
  <si>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</si>
  <si>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</si>
  <si>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</si>
  <si>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</si>
  <si>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</si>
  <si>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</si>
  <si>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</si>
  <si>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</si>
  <si>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</si>
  <si>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</si>
  <si>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</si>
  <si>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</si>
  <si>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</si>
  <si>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</si>
  <si>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</si>
  <si>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</si>
  <si>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</si>
  <si>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</si>
  <si>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</si>
  <si>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</si>
  <si>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</si>
  <si>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</si>
  <si>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</si>
  <si>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</si>
  <si>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</si>
  <si>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</si>
  <si>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</si>
  <si>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</si>
  <si>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</si>
  <si>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</si>
  <si>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</si>
  <si>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</si>
  <si>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</si>
  <si>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</si>
  <si>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</si>
  <si>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</si>
  <si>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</si>
  <si>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</si>
  <si>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</si>
  <si>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</si>
  <si>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</si>
  <si>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</si>
  <si>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</si>
  <si>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</si>
  <si>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</si>
  <si>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</si>
  <si>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</si>
  <si>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</si>
  <si>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</si>
  <si>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</si>
  <si>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</si>
  <si>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</si>
  <si>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</si>
  <si>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</si>
  <si>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</si>
  <si>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</si>
  <si>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</si>
  <si>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</si>
  <si>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</si>
  <si>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</si>
  <si>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</si>
  <si>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</si>
  <si>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</si>
  <si>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</si>
  <si>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</si>
  <si>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</si>
  <si>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</si>
  <si>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</si>
  <si>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</si>
  <si>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</si>
  <si>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</si>
  <si>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</si>
  <si>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</si>
  <si>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</si>
  <si>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</si>
  <si>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</si>
  <si>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</si>
  <si>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</si>
  <si>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</si>
  <si>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</si>
  <si>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</si>
  <si>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</si>
  <si>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</si>
  <si>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</si>
  <si>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</si>
  <si>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</si>
  <si>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</si>
  <si>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</si>
  <si>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</si>
  <si>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</si>
  <si>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</si>
  <si>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</si>
  <si>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</si>
  <si>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</si>
  <si>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</si>
  <si>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</si>
  <si>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</si>
  <si>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</si>
  <si>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</si>
  <si>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</si>
  <si>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</si>
  <si>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</si>
  <si>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</si>
  <si>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</si>
  <si>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</si>
  <si>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</si>
  <si>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</si>
  <si>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</si>
  <si>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</si>
  <si>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</si>
  <si>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</si>
  <si>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</si>
  <si>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</si>
  <si>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</si>
  <si>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</si>
  <si>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</si>
  <si>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</si>
  <si>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</si>
  <si>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</si>
  <si>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</si>
  <si>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</si>
  <si>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</si>
  <si>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</si>
  <si>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</si>
  <si>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</si>
  <si>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</si>
  <si>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</si>
  <si>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</si>
  <si>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</si>
  <si>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</si>
  <si>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</si>
  <si>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</si>
  <si>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</si>
  <si>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</si>
  <si>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</si>
  <si>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</si>
  <si>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</si>
  <si>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</si>
  <si>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</si>
  <si>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</si>
  <si>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</si>
  <si>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</si>
  <si>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</si>
  <si>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</si>
  <si>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</si>
  <si>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</si>
  <si>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</si>
  <si>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</si>
  <si>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</si>
  <si>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</si>
  <si>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</si>
  <si>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</si>
  <si>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</si>
  <si>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</si>
  <si>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</si>
  <si>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</si>
  <si>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</si>
  <si>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</si>
  <si>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</si>
  <si>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</si>
  <si>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</si>
  <si>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</si>
  <si>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</si>
  <si>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</si>
  <si>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</si>
  <si>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</si>
  <si>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</si>
  <si>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</si>
  <si>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</si>
  <si>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</si>
  <si>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</si>
  <si>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</si>
  <si>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</si>
  <si>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</si>
  <si>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</si>
  <si>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</si>
  <si>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</si>
  <si>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</si>
  <si>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</si>
  <si>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</si>
  <si>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</si>
  <si>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</si>
  <si>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</si>
  <si>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</si>
  <si>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</si>
  <si>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</si>
  <si>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</si>
  <si>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</si>
  <si>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</si>
  <si>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</si>
  <si>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</si>
  <si>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</si>
  <si>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</si>
  <si>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</si>
  <si>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</si>
  <si>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</si>
  <si>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</si>
  <si>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</si>
  <si>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</si>
  <si>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</si>
  <si>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</si>
  <si>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</si>
  <si>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</si>
  <si>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</si>
  <si>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</si>
  <si>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</si>
  <si>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</si>
  <si>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</si>
  <si>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</si>
  <si>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</si>
  <si>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</si>
  <si>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</si>
  <si>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</si>
  <si>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</si>
  <si>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</si>
  <si>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</si>
  <si>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</si>
  <si>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</si>
  <si>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</si>
  <si>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</si>
  <si>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</si>
  <si>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</si>
  <si>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</si>
  <si>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</si>
  <si>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</si>
  <si>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</si>
  <si>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</si>
  <si>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</si>
  <si>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</si>
  <si>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</si>
  <si>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</si>
  <si>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</si>
  <si>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</si>
  <si>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</si>
  <si>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</si>
  <si>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</si>
  <si>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</si>
  <si>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</si>
  <si>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</si>
  <si>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</si>
  <si>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</si>
  <si>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</si>
  <si>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</si>
  <si>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</si>
  <si>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</si>
  <si>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</si>
  <si>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</si>
  <si>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</si>
  <si>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</si>
  <si>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</si>
  <si>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</si>
  <si>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</si>
  <si>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</si>
  <si>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</si>
  <si>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</si>
  <si>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</si>
  <si>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</si>
  <si>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</si>
  <si>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</si>
  <si>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</si>
  <si>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</si>
  <si>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</si>
  <si>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</si>
  <si>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</si>
  <si>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</si>
  <si>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</si>
  <si>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</si>
  <si>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</si>
  <si>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</si>
  <si>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</si>
  <si>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</si>
  <si>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</si>
  <si>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</si>
  <si>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</si>
  <si>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</si>
  <si>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</si>
  <si>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</si>
  <si>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</si>
  <si>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</si>
  <si>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</si>
  <si>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LEGANES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</si>
</sst>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VpA638w4/BrIM555bTs0HxoOst/wPRAiZmudm8z4HtoAdWoiQ3XY0R/uFqCh844Xl62qmIih6zTj6mMfR5n0A==" saltValue="Pr9EaM2GVfx+epzD3h1H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31</v>
      </c>
      <c r="E10" s="240">
        <f>IF(ISNUMBER(Datos!J10),Datos!J10," - ")</f>
        <v>60</v>
      </c>
      <c r="F10" s="240">
        <f>IF(ISNUMBER(Datos!K10),Datos!K10," - ")</f>
        <v>69</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-0.29032258064516131</v>
      </c>
      <c r="L10" s="1402">
        <f>IF(ISNUMBER(NºAsuntos!I10/NºAsuntos!G10),(NºAsuntos!I10/NºAsuntos!G10)*11," - ")</f>
        <v>3.5072463768115938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4.3591584158415841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31</v>
      </c>
      <c r="E14" s="1408">
        <f>SUBTOTAL(9,E9:E13)</f>
        <v>60</v>
      </c>
      <c r="F14" s="1409">
        <f>SUBTOTAL(9,F9:F13)</f>
        <v>69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2068</v>
      </c>
      <c r="D17" s="239">
        <f>IF(ISNUMBER(IF(D_I="SI",Datos!I17,Datos!I17+Datos!AC17)),IF(D_I="SI",Datos!I17,Datos!I17+Datos!AC17)," - ")</f>
        <v>1879</v>
      </c>
      <c r="E17" s="240">
        <f>IF(ISNUMBER(IF(D_I="SI",Datos!J17,Datos!J17+Datos!AD17)),IF(D_I="SI",Datos!J17,Datos!J17+Datos!AD17)," - ")</f>
        <v>9378</v>
      </c>
      <c r="F17" s="240">
        <f>IF(ISNUMBER(IF(D_I="SI",Datos!K17,Datos!K17+Datos!AE17)),IF(D_I="SI",Datos!K17,Datos!K17+Datos!AE17)," - ")</f>
        <v>9276</v>
      </c>
      <c r="G17" s="1390" t="str">
        <f>IF(Datos!E17&lt;&gt;"",Datos!E17,Datos!D17)</f>
        <v>04</v>
      </c>
      <c r="H17" s="241">
        <f>IF(ISNUMBER(IF(D_I="SI",Datos!L17,Datos!L17+Datos!AF17)),IF(D_I="SI",Datos!L17,Datos!L17+Datos!AF17)," - ")</f>
        <v>2170</v>
      </c>
      <c r="I17" s="1400" t="str">
        <f>IF(ISNUMBER(Datos!AS17/Datos!BM17),Datos!AS17/Datos!BM17," - ")</f>
        <v xml:space="preserve"> - </v>
      </c>
      <c r="J17" s="1401">
        <f>IF(ISNUMBER(Datos!BY17/Datos!CN17),Datos!BY17/Datos!CN17," - ")</f>
        <v>0</v>
      </c>
      <c r="K17" s="244">
        <f t="shared" si="3"/>
        <v>4.9323017408123788E-2</v>
      </c>
      <c r="L17" s="1402">
        <f>IF(ISNUMBER(NºAsuntos!I17/NºAsuntos!G17),(NºAsuntos!I17/NºAsuntos!G17)*11," - ")</f>
        <v>2.5733074601121171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83</v>
      </c>
      <c r="D18" s="239">
        <f>IF(ISNUMBER(IF(D_I="SI",Datos!I18,Datos!I18+Datos!AC18)),IF(D_I="SI",Datos!I18,Datos!I18+Datos!AC18)," - ")</f>
        <v>78</v>
      </c>
      <c r="E18" s="240">
        <f>IF(ISNUMBER(IF(D_I="SI",Datos!J18,Datos!J18+Datos!AD18)),IF(D_I="SI",Datos!J18,Datos!J18+Datos!AD18)," - ")</f>
        <v>766</v>
      </c>
      <c r="F18" s="240">
        <f>IF(ISNUMBER(IF(D_I="SI",Datos!K18,Datos!K18+Datos!AE18)),IF(D_I="SI",Datos!K18,Datos!K18+Datos!AE18)," - ")</f>
        <v>771</v>
      </c>
      <c r="G18" s="1390" t="str">
        <f>IF(Datos!E18&lt;&gt;"",Datos!E18,Datos!D18)</f>
        <v>37</v>
      </c>
      <c r="H18" s="241">
        <f>IF(ISNUMBER(IF(D_I="SI",Datos!L18,Datos!L18+Datos!AF18)),IF(D_I="SI",Datos!L18,Datos!L18+Datos!AF18)," - ")</f>
        <v>78</v>
      </c>
      <c r="I18" s="1400" t="str">
        <f>IF(ISNUMBER(Datos!AS18/Datos!BM18),Datos!AS18/Datos!BM18," - ")</f>
        <v xml:space="preserve"> - </v>
      </c>
      <c r="J18" s="1401" t="str">
        <f>IF(ISNUMBER((Datos!BY18+Datos!BZ18)/Datos!CN18),(Datos!BY18+Datos!BZ18)/Datos!CN18," - ")</f>
        <v xml:space="preserve"> - </v>
      </c>
      <c r="K18" s="244">
        <f t="shared" si="3"/>
        <v>-6.0240963855421686E-2</v>
      </c>
      <c r="L18" s="1402">
        <f>IF(ISNUMBER(NºAsuntos!I18/NºAsuntos!G18),(NºAsuntos!I18/NºAsuntos!G18)*11," - ")</f>
        <v>1.1128404669260701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2151</v>
      </c>
      <c r="D23" s="1407">
        <f>SUBTOTAL(9,D16:D22)</f>
        <v>1957</v>
      </c>
      <c r="E23" s="1408">
        <f>SUBTOTAL(9,E16:E22)</f>
        <v>10144</v>
      </c>
      <c r="F23" s="1408">
        <f>SUBTOTAL(9,F16:F22)</f>
        <v>10047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2182</v>
      </c>
      <c r="D31" s="1435">
        <f>SUBTOTAL(9,D9:D30)</f>
        <v>1988</v>
      </c>
      <c r="E31" s="1436">
        <f>SUBTOTAL(9,E9:E30)</f>
        <v>10204</v>
      </c>
      <c r="F31" s="1436">
        <f>SUBTOTAL(9,F9:F30)</f>
        <v>10116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MJ8A1ejzdPocM4J0qDhjg3pp+f3va20ny4c9nNBiqZN71/8cHy4328PKyGJVLgHzY2F1RbLHF28YmeL/TbdOWg==" saltValue="nV4+qnlpBqzvjChnGafgg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BScn/Dh0fgHis0L8XtWr/OoAN13f0dnq1HMYn3Ed/r+yV7SIqt/ZrZk7KNCE8m7AiLi+i6U8aumLVpqENeUFw==" saltValue="glFs4yjJfkzgKEJ5S2zW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31</v>
      </c>
      <c r="J10" s="194">
        <v>60</v>
      </c>
      <c r="K10" s="194">
        <v>69</v>
      </c>
      <c r="L10" s="194">
        <v>22</v>
      </c>
      <c r="M10" s="194">
        <v>27</v>
      </c>
      <c r="N10" s="194">
        <v>29</v>
      </c>
      <c r="O10" s="194">
        <v>27</v>
      </c>
      <c r="P10" s="194">
        <v>23</v>
      </c>
      <c r="Q10" s="194">
        <v>22</v>
      </c>
      <c r="R10" s="194">
        <v>65</v>
      </c>
      <c r="S10" s="194">
        <v>22</v>
      </c>
      <c r="T10" s="194">
        <v>75</v>
      </c>
      <c r="U10" s="194">
        <v>66</v>
      </c>
      <c r="V10" s="194">
        <v>31</v>
      </c>
      <c r="W10" s="194">
        <v>31</v>
      </c>
      <c r="X10" s="201">
        <v>33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22</v>
      </c>
      <c r="AZ10" s="139">
        <f t="shared" si="0"/>
        <v>75</v>
      </c>
      <c r="BA10" s="139">
        <f t="shared" si="0"/>
        <v>66</v>
      </c>
      <c r="BB10" s="139">
        <f t="shared" si="0"/>
        <v>31</v>
      </c>
      <c r="BC10" s="135">
        <f t="shared" si="0"/>
        <v>31</v>
      </c>
      <c r="BD10" s="136">
        <f>IF(ISNUMBER(BA10/AZ10),BA10/AZ10," - ")</f>
        <v>0.88</v>
      </c>
      <c r="BE10" s="137">
        <f>IF(ISNUMBER(BB10/BA10),BB10/BA10, " - ")</f>
        <v>0.46969696969696972</v>
      </c>
      <c r="BF10" s="137">
        <f>IF(ISNUMBER(BC10/BA10),BC10/BA10, " - ")</f>
        <v>0.46969696969696972</v>
      </c>
      <c r="BG10" s="209">
        <f>IF(ISNUMBER((AY10+AZ10)/BA10),(AY10+AZ10)/BA10," - ")</f>
        <v>1.4696969696969697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2918</v>
      </c>
      <c r="J12" s="196">
        <v>7142</v>
      </c>
      <c r="K12" s="196">
        <v>7092</v>
      </c>
      <c r="L12" s="196">
        <v>3003</v>
      </c>
      <c r="M12" s="196">
        <v>1405</v>
      </c>
      <c r="N12" s="196">
        <v>3810</v>
      </c>
      <c r="O12" s="194">
        <v>3450</v>
      </c>
      <c r="P12" s="196">
        <v>1645</v>
      </c>
      <c r="Q12" s="196">
        <v>1731</v>
      </c>
      <c r="R12" s="196">
        <v>6898</v>
      </c>
      <c r="S12" s="196">
        <v>3121</v>
      </c>
      <c r="T12" s="196">
        <v>6173</v>
      </c>
      <c r="U12" s="196">
        <v>6290</v>
      </c>
      <c r="V12" s="196">
        <v>2918</v>
      </c>
      <c r="W12" s="196">
        <v>1508</v>
      </c>
      <c r="X12" s="202">
        <v>3217</v>
      </c>
      <c r="Y12" s="204">
        <v>188</v>
      </c>
      <c r="Z12" s="194">
        <v>960</v>
      </c>
      <c r="AA12" s="194">
        <v>988</v>
      </c>
      <c r="AB12" s="194">
        <v>199</v>
      </c>
      <c r="AC12" s="196">
        <v>0</v>
      </c>
      <c r="AD12" s="196">
        <v>0</v>
      </c>
      <c r="AE12" s="196">
        <v>0</v>
      </c>
      <c r="AF12" s="202">
        <v>0</v>
      </c>
      <c r="AG12" s="215">
        <v>137</v>
      </c>
      <c r="AH12" s="196">
        <v>958</v>
      </c>
      <c r="AI12" s="196">
        <v>919</v>
      </c>
      <c r="AJ12" s="216">
        <v>188</v>
      </c>
      <c r="AK12" s="195">
        <v>0</v>
      </c>
      <c r="AL12" s="196">
        <v>0</v>
      </c>
      <c r="AM12" s="196">
        <v>0</v>
      </c>
      <c r="AN12" s="202">
        <v>0</v>
      </c>
      <c r="AO12" s="283">
        <v>8</v>
      </c>
      <c r="AP12" s="168">
        <v>8</v>
      </c>
      <c r="AQ12" s="168">
        <v>8</v>
      </c>
      <c r="AR12" s="167">
        <v>8</v>
      </c>
      <c r="AS12" s="381" t="s">
        <v>1075</v>
      </c>
      <c r="AT12" s="216"/>
      <c r="AU12" s="215"/>
      <c r="AV12" s="216"/>
      <c r="AW12" s="215"/>
      <c r="AX12" s="216"/>
      <c r="AY12" s="136">
        <f t="shared" si="1"/>
        <v>3258</v>
      </c>
      <c r="AZ12" s="137">
        <f t="shared" si="1"/>
        <v>7131</v>
      </c>
      <c r="BA12" s="137">
        <f t="shared" si="1"/>
        <v>7209</v>
      </c>
      <c r="BB12" s="137">
        <f t="shared" si="1"/>
        <v>3106</v>
      </c>
      <c r="BC12" s="135">
        <f>IF(ISNUMBER(X12),X12," - ")</f>
        <v>3217</v>
      </c>
      <c r="BD12" s="136">
        <f t="shared" si="2"/>
        <v>1.0109381573411864</v>
      </c>
      <c r="BE12" s="137">
        <f t="shared" si="3"/>
        <v>0.4308503259814121</v>
      </c>
      <c r="BF12" s="137">
        <f t="shared" si="4"/>
        <v>0.44624774587321403</v>
      </c>
      <c r="BG12" s="209">
        <f t="shared" si="5"/>
        <v>1.4411152725759466</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2949</v>
      </c>
      <c r="J14" s="197">
        <f t="shared" si="7"/>
        <v>7202</v>
      </c>
      <c r="K14" s="197">
        <f t="shared" si="7"/>
        <v>7161</v>
      </c>
      <c r="L14" s="197">
        <f t="shared" si="7"/>
        <v>3025</v>
      </c>
      <c r="M14" s="197">
        <f t="shared" si="7"/>
        <v>1432</v>
      </c>
      <c r="N14" s="197">
        <f t="shared" si="7"/>
        <v>3839</v>
      </c>
      <c r="O14" s="197">
        <f t="shared" si="7"/>
        <v>3477</v>
      </c>
      <c r="P14" s="197">
        <f t="shared" si="7"/>
        <v>1668</v>
      </c>
      <c r="Q14" s="197">
        <f t="shared" si="7"/>
        <v>1753</v>
      </c>
      <c r="R14" s="197">
        <f t="shared" si="7"/>
        <v>6963</v>
      </c>
      <c r="S14" s="197">
        <f t="shared" si="7"/>
        <v>3143</v>
      </c>
      <c r="T14" s="197">
        <f t="shared" si="7"/>
        <v>6248</v>
      </c>
      <c r="U14" s="197">
        <f t="shared" si="7"/>
        <v>6356</v>
      </c>
      <c r="V14" s="197">
        <f t="shared" si="7"/>
        <v>2949</v>
      </c>
      <c r="W14" s="197">
        <f t="shared" si="7"/>
        <v>1539</v>
      </c>
      <c r="X14" s="197">
        <f t="shared" si="7"/>
        <v>3250</v>
      </c>
      <c r="Y14" s="197">
        <f t="shared" si="7"/>
        <v>188</v>
      </c>
      <c r="Z14" s="197">
        <f t="shared" si="7"/>
        <v>960</v>
      </c>
      <c r="AA14" s="197">
        <f t="shared" si="7"/>
        <v>988</v>
      </c>
      <c r="AB14" s="197">
        <f t="shared" si="7"/>
        <v>199</v>
      </c>
      <c r="AC14" s="197">
        <f t="shared" si="7"/>
        <v>0</v>
      </c>
      <c r="AD14" s="197">
        <f t="shared" si="7"/>
        <v>0</v>
      </c>
      <c r="AE14" s="197">
        <f t="shared" si="7"/>
        <v>0</v>
      </c>
      <c r="AF14" s="197">
        <f>SUBTOTAL(9,AF9:AF13)</f>
        <v>0</v>
      </c>
      <c r="AG14" s="197">
        <f t="shared" ref="AG14:AT14" si="8">SUBTOTAL(9,AG8:AG13)</f>
        <v>137</v>
      </c>
      <c r="AH14" s="197">
        <f t="shared" si="8"/>
        <v>958</v>
      </c>
      <c r="AI14" s="197">
        <f t="shared" si="8"/>
        <v>919</v>
      </c>
      <c r="AJ14" s="197">
        <f t="shared" si="8"/>
        <v>188</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3280</v>
      </c>
      <c r="AZ14" s="197">
        <f>SUBTOTAL(9,AZ8:AZ13)</f>
        <v>7206</v>
      </c>
      <c r="BA14" s="197">
        <f>SUBTOTAL(9,BA8:BA13)</f>
        <v>7275</v>
      </c>
      <c r="BB14" s="197">
        <f>SUBTOTAL(9,BB8:BB13)</f>
        <v>3137</v>
      </c>
      <c r="BC14" s="197">
        <f>SUBTOTAL(9,BC8:BC13)</f>
        <v>3248</v>
      </c>
      <c r="BD14" s="219">
        <f>IF(ISNUMBER(BA14/AZ14),BA14/AZ14," - ")</f>
        <v>1.0095753538717736</v>
      </c>
      <c r="BE14" s="220">
        <f>IF(ISNUMBER(BB14/BA14),BB14/BA14, " - ")</f>
        <v>0.43120274914089346</v>
      </c>
      <c r="BF14" s="220">
        <f>IF(ISNUMBER(BC14/BA14),BC14/BA14, " - ")</f>
        <v>0.44646048109965636</v>
      </c>
      <c r="BG14" s="221">
        <f>IF(ISNUMBER((AY14+AZ14)/BA14),(AY14+AZ14)/BA14," - ")</f>
        <v>1.4413745704467353</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1879</v>
      </c>
      <c r="J17" s="196">
        <v>9378</v>
      </c>
      <c r="K17" s="196">
        <v>9276</v>
      </c>
      <c r="L17" s="196">
        <v>2170</v>
      </c>
      <c r="M17" s="196">
        <v>1359</v>
      </c>
      <c r="N17" s="196">
        <v>5734</v>
      </c>
      <c r="O17" s="194">
        <v>186</v>
      </c>
      <c r="P17" s="196">
        <v>721</v>
      </c>
      <c r="Q17" s="196">
        <v>719</v>
      </c>
      <c r="R17" s="196">
        <v>540</v>
      </c>
      <c r="S17" s="196">
        <v>1675</v>
      </c>
      <c r="T17" s="196">
        <v>8654</v>
      </c>
      <c r="U17" s="196">
        <v>8933</v>
      </c>
      <c r="V17" s="196">
        <v>1879</v>
      </c>
      <c r="W17" s="196">
        <v>1451</v>
      </c>
      <c r="X17" s="202">
        <v>5310</v>
      </c>
      <c r="Y17" s="215">
        <v>0</v>
      </c>
      <c r="Z17" s="196">
        <v>0</v>
      </c>
      <c r="AA17" s="196">
        <v>0</v>
      </c>
      <c r="AB17" s="196">
        <v>0</v>
      </c>
      <c r="AC17" s="196">
        <v>2</v>
      </c>
      <c r="AD17" s="196">
        <v>708</v>
      </c>
      <c r="AE17" s="196">
        <v>704</v>
      </c>
      <c r="AF17" s="202">
        <v>6</v>
      </c>
      <c r="AG17" s="215">
        <v>0</v>
      </c>
      <c r="AH17" s="196">
        <v>0</v>
      </c>
      <c r="AI17" s="196">
        <v>0</v>
      </c>
      <c r="AJ17" s="216">
        <v>0</v>
      </c>
      <c r="AK17" s="195">
        <v>2</v>
      </c>
      <c r="AL17" s="196">
        <v>574</v>
      </c>
      <c r="AM17" s="196">
        <v>574</v>
      </c>
      <c r="AN17" s="202">
        <v>2</v>
      </c>
      <c r="AO17" s="283">
        <v>8</v>
      </c>
      <c r="AP17" s="168">
        <v>8</v>
      </c>
      <c r="AQ17" s="168">
        <v>8</v>
      </c>
      <c r="AR17" s="168">
        <v>8</v>
      </c>
      <c r="AS17" s="381" t="s">
        <v>650</v>
      </c>
      <c r="AT17" s="216"/>
      <c r="AU17" s="215"/>
      <c r="AV17" s="216"/>
      <c r="AW17" s="215"/>
      <c r="AX17" s="216"/>
      <c r="AY17" s="136">
        <f t="shared" si="10"/>
        <v>1675</v>
      </c>
      <c r="AZ17" s="137">
        <f t="shared" si="10"/>
        <v>8654</v>
      </c>
      <c r="BA17" s="137">
        <f t="shared" si="10"/>
        <v>8933</v>
      </c>
      <c r="BB17" s="137">
        <f t="shared" si="10"/>
        <v>1879</v>
      </c>
      <c r="BC17" s="135">
        <f>IF(ISNUMBER(W17),W17," - ")</f>
        <v>1451</v>
      </c>
      <c r="BD17" s="136">
        <f t="shared" ref="BD17:BD22" si="12">IF(ISNUMBER(BA17/AZ17),BA17/AZ17," - ")</f>
        <v>1.0322394268546338</v>
      </c>
      <c r="BE17" s="137">
        <f t="shared" ref="BE17:BE22" si="13">IF(ISNUMBER(BB17/BA17),BB17/BA17, " - ")</f>
        <v>0.21034366953990821</v>
      </c>
      <c r="BF17" s="137">
        <f t="shared" ref="BF17:BF22" si="14">IF(ISNUMBER(BC17/BA17),BC17/BA17, " - ")</f>
        <v>0.16243143400873167</v>
      </c>
      <c r="BG17" s="209">
        <f t="shared" si="11"/>
        <v>1.1562744878540243</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78</v>
      </c>
      <c r="J18" s="196">
        <v>766</v>
      </c>
      <c r="K18" s="196">
        <v>771</v>
      </c>
      <c r="L18" s="196">
        <v>78</v>
      </c>
      <c r="M18" s="196">
        <v>46</v>
      </c>
      <c r="N18" s="196">
        <v>515</v>
      </c>
      <c r="O18" s="196">
        <v>2</v>
      </c>
      <c r="P18" s="196">
        <v>8</v>
      </c>
      <c r="Q18" s="196">
        <v>5</v>
      </c>
      <c r="R18" s="196">
        <v>4</v>
      </c>
      <c r="S18" s="196">
        <v>95</v>
      </c>
      <c r="T18" s="196">
        <v>722</v>
      </c>
      <c r="U18" s="196">
        <v>743</v>
      </c>
      <c r="V18" s="196">
        <v>78</v>
      </c>
      <c r="W18" s="196">
        <v>22</v>
      </c>
      <c r="X18" s="202">
        <v>533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95</v>
      </c>
      <c r="AZ18" s="139">
        <f t="shared" si="15"/>
        <v>722</v>
      </c>
      <c r="BA18" s="139">
        <f t="shared" si="15"/>
        <v>743</v>
      </c>
      <c r="BB18" s="139">
        <f t="shared" si="15"/>
        <v>78</v>
      </c>
      <c r="BC18" s="135">
        <f>IF(ISNUMBER(W18),W18," - ")</f>
        <v>22</v>
      </c>
      <c r="BD18" s="136">
        <f>IF(ISNUMBER(BA18/AZ18),BA18/AZ18," - ")</f>
        <v>1.0290858725761773</v>
      </c>
      <c r="BE18" s="137">
        <f>IF(ISNUMBER(BB18/BA18),BB18/BA18, " - ")</f>
        <v>0.10497981157469717</v>
      </c>
      <c r="BF18" s="137">
        <f>IF(ISNUMBER(BC18/BA18),BC18/BA18, " - ")</f>
        <v>2.9609690444145357E-2</v>
      </c>
      <c r="BG18" s="209">
        <f>IF(ISNUMBER((AY18+AZ18)/BA18),(AY18+AZ18)/BA18," - ")</f>
        <v>1.0995962314939434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1957</v>
      </c>
      <c r="J23" s="197">
        <f t="shared" si="21"/>
        <v>10144</v>
      </c>
      <c r="K23" s="197">
        <f t="shared" si="21"/>
        <v>10047</v>
      </c>
      <c r="L23" s="197">
        <f t="shared" si="21"/>
        <v>2248</v>
      </c>
      <c r="M23" s="197">
        <f t="shared" si="21"/>
        <v>1405</v>
      </c>
      <c r="N23" s="197">
        <f t="shared" si="21"/>
        <v>6249</v>
      </c>
      <c r="O23" s="197">
        <f t="shared" si="21"/>
        <v>188</v>
      </c>
      <c r="P23" s="197">
        <f t="shared" si="21"/>
        <v>729</v>
      </c>
      <c r="Q23" s="197">
        <f t="shared" si="21"/>
        <v>724</v>
      </c>
      <c r="R23" s="197">
        <f t="shared" si="21"/>
        <v>544</v>
      </c>
      <c r="S23" s="197">
        <f t="shared" si="21"/>
        <v>1770</v>
      </c>
      <c r="T23" s="197">
        <f t="shared" si="21"/>
        <v>9376</v>
      </c>
      <c r="U23" s="197">
        <f t="shared" si="21"/>
        <v>9676</v>
      </c>
      <c r="V23" s="197">
        <f t="shared" si="21"/>
        <v>1957</v>
      </c>
      <c r="W23" s="197">
        <f t="shared" si="21"/>
        <v>1473</v>
      </c>
      <c r="X23" s="197">
        <f t="shared" si="21"/>
        <v>5843</v>
      </c>
      <c r="Y23" s="197">
        <f t="shared" si="21"/>
        <v>0</v>
      </c>
      <c r="Z23" s="197">
        <f t="shared" si="21"/>
        <v>0</v>
      </c>
      <c r="AA23" s="197">
        <f t="shared" si="21"/>
        <v>0</v>
      </c>
      <c r="AB23" s="197">
        <f t="shared" si="21"/>
        <v>0</v>
      </c>
      <c r="AC23" s="197">
        <f t="shared" si="21"/>
        <v>2</v>
      </c>
      <c r="AD23" s="197">
        <f t="shared" si="21"/>
        <v>708</v>
      </c>
      <c r="AE23" s="197">
        <f t="shared" si="21"/>
        <v>704</v>
      </c>
      <c r="AF23" s="197">
        <f t="shared" si="21"/>
        <v>6</v>
      </c>
      <c r="AG23" s="197">
        <f t="shared" si="21"/>
        <v>0</v>
      </c>
      <c r="AH23" s="197">
        <f t="shared" si="21"/>
        <v>0</v>
      </c>
      <c r="AI23" s="197">
        <f t="shared" si="21"/>
        <v>0</v>
      </c>
      <c r="AJ23" s="197">
        <f t="shared" si="21"/>
        <v>0</v>
      </c>
      <c r="AK23" s="197">
        <f t="shared" si="21"/>
        <v>2</v>
      </c>
      <c r="AL23" s="197">
        <f t="shared" si="21"/>
        <v>574</v>
      </c>
      <c r="AM23" s="197">
        <f t="shared" si="21"/>
        <v>574</v>
      </c>
      <c r="AN23" s="197">
        <f t="shared" si="21"/>
        <v>2</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1770</v>
      </c>
      <c r="AZ23" s="197">
        <f>SUBTOTAL(9,AZ15:AZ22)</f>
        <v>9376</v>
      </c>
      <c r="BA23" s="197">
        <f>SUBTOTAL(9,BA15:BA22)</f>
        <v>9676</v>
      </c>
      <c r="BB23" s="197">
        <f>SUBTOTAL(9,BB15:BB22)</f>
        <v>1957</v>
      </c>
      <c r="BC23" s="197">
        <f>SUBTOTAL(9,BC15:BC22)</f>
        <v>1473</v>
      </c>
      <c r="BD23" s="219">
        <f>IF(ISNUMBER(BA23/AZ23),BA23/AZ23," - ")</f>
        <v>1.0319965870307166</v>
      </c>
      <c r="BE23" s="220">
        <f>IF(ISNUMBER(BB23/BA23),BB23/BA23, " - ")</f>
        <v>0.20225299710624225</v>
      </c>
      <c r="BF23" s="220">
        <f>IF(ISNUMBER(BC23/BA23),BC23/BA23, " - ")</f>
        <v>0.15223232740801984</v>
      </c>
      <c r="BG23" s="221">
        <f>IF(ISNUMBER((AY23+AZ23)/BA23),(AY23+AZ23)/BA23," - ")</f>
        <v>1.1519222819346837</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4906</v>
      </c>
      <c r="J31" s="144">
        <f t="shared" si="36"/>
        <v>17346</v>
      </c>
      <c r="K31" s="144">
        <f t="shared" si="36"/>
        <v>17208</v>
      </c>
      <c r="L31" s="144">
        <f t="shared" si="36"/>
        <v>5273</v>
      </c>
      <c r="M31" s="144">
        <f t="shared" si="36"/>
        <v>2837</v>
      </c>
      <c r="N31" s="144">
        <f t="shared" si="36"/>
        <v>10088</v>
      </c>
      <c r="O31" s="144">
        <f t="shared" si="36"/>
        <v>3665</v>
      </c>
      <c r="P31" s="144">
        <f t="shared" si="36"/>
        <v>2397</v>
      </c>
      <c r="Q31" s="144">
        <f t="shared" si="36"/>
        <v>2477</v>
      </c>
      <c r="R31" s="144">
        <f t="shared" si="36"/>
        <v>7507</v>
      </c>
      <c r="S31" s="144">
        <f t="shared" si="36"/>
        <v>4913</v>
      </c>
      <c r="T31" s="144">
        <f t="shared" si="36"/>
        <v>15624</v>
      </c>
      <c r="U31" s="144">
        <f t="shared" si="36"/>
        <v>16032</v>
      </c>
      <c r="V31" s="144">
        <f t="shared" si="36"/>
        <v>4906</v>
      </c>
      <c r="W31" s="144">
        <f t="shared" si="36"/>
        <v>3012</v>
      </c>
      <c r="X31" s="144">
        <f t="shared" si="36"/>
        <v>9093</v>
      </c>
      <c r="Y31" s="144">
        <f t="shared" si="36"/>
        <v>188</v>
      </c>
      <c r="Z31" s="144">
        <f t="shared" si="36"/>
        <v>960</v>
      </c>
      <c r="AA31" s="144">
        <f t="shared" si="36"/>
        <v>988</v>
      </c>
      <c r="AB31" s="144">
        <f t="shared" si="36"/>
        <v>199</v>
      </c>
      <c r="AC31" s="144">
        <f t="shared" si="36"/>
        <v>2</v>
      </c>
      <c r="AD31" s="144">
        <f t="shared" si="36"/>
        <v>708</v>
      </c>
      <c r="AE31" s="144">
        <f t="shared" si="36"/>
        <v>704</v>
      </c>
      <c r="AF31" s="144">
        <f t="shared" si="36"/>
        <v>6</v>
      </c>
      <c r="AG31" s="144">
        <f t="shared" si="36"/>
        <v>137</v>
      </c>
      <c r="AH31" s="144">
        <f t="shared" si="36"/>
        <v>958</v>
      </c>
      <c r="AI31" s="144">
        <f t="shared" si="36"/>
        <v>919</v>
      </c>
      <c r="AJ31" s="144">
        <f t="shared" si="36"/>
        <v>188</v>
      </c>
      <c r="AK31" s="144">
        <f t="shared" si="36"/>
        <v>2</v>
      </c>
      <c r="AL31" s="144">
        <f t="shared" si="36"/>
        <v>574</v>
      </c>
      <c r="AM31" s="144">
        <f t="shared" si="36"/>
        <v>574</v>
      </c>
      <c r="AN31" s="224">
        <f t="shared" si="36"/>
        <v>2</v>
      </c>
      <c r="AO31" s="225">
        <v>9</v>
      </c>
      <c r="AP31" s="225">
        <v>9</v>
      </c>
      <c r="AQ31" s="225">
        <v>9</v>
      </c>
      <c r="AR31" s="225">
        <v>9</v>
      </c>
      <c r="AS31" s="166">
        <f t="shared" si="36"/>
        <v>0</v>
      </c>
      <c r="AT31" s="166">
        <f t="shared" si="36"/>
        <v>0</v>
      </c>
      <c r="AU31" s="225"/>
      <c r="AV31" s="226"/>
      <c r="AW31" s="225"/>
      <c r="AX31" s="226"/>
      <c r="AY31" s="143">
        <f>SUBTOTAL(9,AY9:AY30)</f>
        <v>5050</v>
      </c>
      <c r="AZ31" s="144">
        <f>SUBTOTAL(9,AZ9:AZ30)</f>
        <v>16582</v>
      </c>
      <c r="BA31" s="144">
        <f>SUBTOTAL(9,BA9:BA30)</f>
        <v>16951</v>
      </c>
      <c r="BB31" s="144">
        <f>SUBTOTAL(9,BB9:BB30)</f>
        <v>5094</v>
      </c>
      <c r="BC31" s="145">
        <f>SUBTOTAL(9,BC9:BC30)</f>
        <v>4721</v>
      </c>
      <c r="BD31" s="227">
        <f>IF(ISNUMBER(BA31/AZ31),BA31/AZ31," - ")</f>
        <v>1.0222530454709926</v>
      </c>
      <c r="BE31" s="224">
        <f>IF(ISNUMBER(BB31/BA31),BB31/BA31, " - ")</f>
        <v>0.30051324405639784</v>
      </c>
      <c r="BF31" s="224">
        <f>IF(ISNUMBER(BC31/BA31),BC31/BA31, " - ")</f>
        <v>0.27850864255796121</v>
      </c>
      <c r="BG31" s="145">
        <f>IF(ISNUMBER((AY31+AZ31)/BA31),(AY31+AZ31)/BA31," - ")</f>
        <v>1.2761488997699251</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8ePAuPjBtNWHIZ1AEPvl2hvUVIHOBArWPGKPJFlQlyr8oncjiuMyXJ4dws8kq/PuA5WQtsmv8Sp30O0ICo5Ig==" saltValue="hml8Ref8dABA0F0/2BXrO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nRiR2cnG9xeWcf8bg4ziHBte329iyodStBnSvfP2zQeO22IuW2aseZG3qfBtZcPhtWr1jCUM/cGkN2QNg6P4g==" saltValue="BA0iy3SyORY/kO4cUWGPp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LEGANES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31</v>
      </c>
      <c r="G10" s="543">
        <f>IF(ISNUMBER(Datos!I10),Datos!I10," - ")</f>
        <v>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69</v>
      </c>
      <c r="AC10" s="547">
        <f>IF(ISNUMBER(Datos!Q10),Datos!Q10," - ")</f>
        <v>22</v>
      </c>
      <c r="AD10" s="549"/>
      <c r="AE10" s="563"/>
      <c r="AF10" s="551">
        <f>IF(ISNUMBER(Datos!L10),Datos!L10,"-")</f>
        <v>22</v>
      </c>
      <c r="AG10" s="549"/>
      <c r="AH10" s="549"/>
      <c r="AI10" s="549"/>
      <c r="AJ10" s="549"/>
      <c r="AK10" s="549"/>
      <c r="AL10" s="550"/>
      <c r="AM10" s="766">
        <f>IF(ISNUMBER(Datos!R10),Datos!R10," - ")</f>
        <v>65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27</v>
      </c>
      <c r="BD10" s="693">
        <f>IF(ISNUMBER(Datos!N10),Datos!N10," - ")</f>
        <v>29</v>
      </c>
      <c r="BE10" s="693" t="str">
        <f>IF(ISNUMBER(Datos!BW10),Datos!BW10," - ")</f>
        <v xml:space="preserve"> - </v>
      </c>
      <c r="BF10" s="762" t="str">
        <f>IF(ISNUMBER(Datos!BX10),Datos!BX10," - ")</f>
        <v xml:space="preserve"> - </v>
      </c>
      <c r="BG10" s="763">
        <f>IF(ISNUMBER(Datos!K10/Datos!J10),Datos!K10/Datos!J10," - ")</f>
        <v>1.1499999999999999</v>
      </c>
      <c r="BH10" s="764">
        <f>IF(ISNUMBER(((Datos!L10/Datos!K10)*11)/factor_trimestre),((Datos!L10/Datos!K10)*11)/factor_trimestre," - ")</f>
        <v>3.5072463768115938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1.5625E-2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960</v>
      </c>
      <c r="O12" s="549"/>
      <c r="P12" s="549"/>
      <c r="Q12" s="547">
        <f>IF(ISNUMBER(Datos!P12),Datos!P12,0)</f>
        <v>1645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1731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199</v>
      </c>
      <c r="AI12" s="549" t="str">
        <f>IF(ISNUMBER(Datos!CD12),Datos!CD12,"-")</f>
        <v>-</v>
      </c>
      <c r="AJ12" s="549" t="str">
        <f>IF(ISNUMBER(Datos!EN12),Datos!EN12," - ")</f>
        <v xml:space="preserve"> - </v>
      </c>
      <c r="AK12" s="549"/>
      <c r="AL12" s="550"/>
      <c r="AM12" s="766">
        <f>IF(ISNUMBER(Datos!R12),Datos!R12," - ")</f>
        <v>6898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1405</v>
      </c>
      <c r="BD12" s="693">
        <f>IF(ISNUMBER(Datos!N12),Datos!N12," - ")</f>
        <v>3810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0.99728462108121452</v>
      </c>
      <c r="BH12" s="764">
        <f>IF(ISNUMBER(((IF(J_V="SI",Datos!L12/Datos!K12,(Datos!L12+Datos!AB12)/(Datos!K12+Datos!AA12)))*11)/factor_trimestre),((IF(J_V="SI",Datos!L12/Datos!K12,(Datos!L12+Datos!AB12)/(Datos!K12+Datos!AA12)))*11)/factor_trimestre," - ")</f>
        <v>4.3591584158415841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-1.2313860252004582E-2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9</v>
      </c>
      <c r="F14" s="1197">
        <f t="shared" si="1"/>
        <v>31</v>
      </c>
      <c r="G14" s="1197">
        <f t="shared" si="1"/>
        <v>31</v>
      </c>
      <c r="H14" s="1198">
        <f t="shared" si="1"/>
        <v>0</v>
      </c>
      <c r="I14" s="1197">
        <f t="shared" si="1"/>
        <v>0</v>
      </c>
      <c r="J14" s="1164">
        <f t="shared" si="1"/>
        <v>0</v>
      </c>
      <c r="K14" s="1164">
        <f t="shared" si="1"/>
        <v>0</v>
      </c>
      <c r="L14" s="1198">
        <f t="shared" si="1"/>
        <v>0</v>
      </c>
      <c r="M14" s="1198">
        <f t="shared" si="1"/>
        <v>0</v>
      </c>
      <c r="N14" s="1198">
        <f t="shared" si="1"/>
        <v>960</v>
      </c>
      <c r="O14" s="1199">
        <f t="shared" si="1"/>
        <v>0</v>
      </c>
      <c r="P14" s="1199">
        <f t="shared" si="1"/>
        <v>0</v>
      </c>
      <c r="Q14" s="1198">
        <f t="shared" si="1"/>
        <v>1668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69</v>
      </c>
      <c r="AC14" s="1198">
        <f t="shared" si="2"/>
        <v>1753</v>
      </c>
      <c r="AD14" s="1198">
        <f t="shared" si="2"/>
        <v>0</v>
      </c>
      <c r="AE14" s="1198">
        <f t="shared" si="2"/>
        <v>0</v>
      </c>
      <c r="AF14" s="1198">
        <f t="shared" si="2"/>
        <v>22</v>
      </c>
      <c r="AG14" s="1198">
        <f t="shared" si="2"/>
        <v>0</v>
      </c>
      <c r="AH14" s="1198">
        <f t="shared" si="2"/>
        <v>199</v>
      </c>
      <c r="AI14" s="1198">
        <f t="shared" si="2"/>
        <v>0</v>
      </c>
      <c r="AJ14" s="1198">
        <f t="shared" si="2"/>
        <v>0</v>
      </c>
      <c r="AK14" s="1198">
        <f t="shared" si="2"/>
        <v>0</v>
      </c>
      <c r="AL14" s="1198">
        <f t="shared" si="2"/>
        <v>0</v>
      </c>
      <c r="AM14" s="1198">
        <f t="shared" si="2"/>
        <v>6963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1432</v>
      </c>
      <c r="BD14" s="1198">
        <f t="shared" si="2"/>
        <v>3839</v>
      </c>
      <c r="BE14" s="1198">
        <f t="shared" si="2"/>
        <v>0</v>
      </c>
      <c r="BF14" s="1198">
        <f t="shared" si="2"/>
        <v>0</v>
      </c>
      <c r="BG14" s="1198">
        <f>IF(ISNUMBER(Datos!K14/Datos!J14),Datos!K14/Datos!J14," - ")</f>
        <v>0.99430713690641492</v>
      </c>
      <c r="BH14" s="1202">
        <f>IF(ISNUMBER(((Datos!L14/Datos!K14)*11)/factor_trimestre),((Datos!L14/Datos!K14)*11)/factor_trimestre," - ")</f>
        <v>4.6466973886328731</v>
      </c>
      <c r="BI14" s="1198">
        <f>IF(ISNUMBER('Resol  Asuntos'!D14/NºAsuntos!G14),'Resol  Asuntos'!D14/NºAsuntos!G14," - ")</f>
        <v>0.17572708307767823</v>
      </c>
      <c r="BJ14" s="1198" t="str">
        <f>IF(ISNUMBER(Datos!CI14/Datos!CJ14),Datos!CI14/Datos!CJ14," - ")</f>
        <v xml:space="preserve"> - </v>
      </c>
      <c r="BK14" s="1198">
        <f>SUBTOTAL(9,BK8:BK13)</f>
        <v>0</v>
      </c>
      <c r="BL14" s="1198">
        <f>IF(ISNUMBER((I14-AB14+L14)/(F14)),(I14-AB14+L14)/(F14)," - ")</f>
        <v>-2.225806451612903</v>
      </c>
      <c r="BM14" s="1203">
        <f>SUBTOTAL(9,BM9:BM13)</f>
        <v>3.3111397479954185E-3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2068</v>
      </c>
      <c r="G17" s="743">
        <f>IF(ISNUMBER(IF(D_I="SI",Datos!I17,Datos!I17+Datos!AC17)),IF(D_I="SI",Datos!I17,Datos!I17+Datos!AC17)," - ")</f>
        <v>1879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9276</v>
      </c>
      <c r="AC17" s="240">
        <f>IF(ISNUMBER(Datos!Q17),Datos!Q17," - ")</f>
        <v>719</v>
      </c>
      <c r="AD17" s="374"/>
      <c r="AE17" s="562"/>
      <c r="AF17" s="741">
        <f>IF(ISNUMBER(IF(D_I="SI",Datos!L17,Datos!L17+Datos!AF17)),IF(D_I="SI",Datos!L17,Datos!L17+Datos!AF17)," - ")</f>
        <v>2170</v>
      </c>
      <c r="AG17" s="374"/>
      <c r="AH17" s="374"/>
      <c r="AI17" s="374"/>
      <c r="AJ17" s="549"/>
      <c r="AK17" s="374"/>
      <c r="AL17" s="545"/>
      <c r="AM17" s="375">
        <f>IF(ISNUMBER(Datos!R17),Datos!R17," - ")</f>
        <v>540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1359</v>
      </c>
      <c r="BD17" s="243">
        <f>IF(ISNUMBER(Datos!N17),Datos!N17," - ")</f>
        <v>5734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0.98912348048624443</v>
      </c>
      <c r="BH17" s="764">
        <f>IF(ISNUMBER(((IF(D_I="SI",Datos!L17/Datos!K17,(Datos!L17+Datos!AF17)/(Datos!K17+Datos!AE17)))*11)/factor_trimestre),((IF(D_I="SI",Datos!L17/Datos!K17,(Datos!L17+Datos!AF17)/(Datos!K17+Datos!AE17)))*11)/factor_trimestre," - ")</f>
        <v>2.5733074601121171</v>
      </c>
      <c r="BI17" s="266">
        <f>IF(ISNUMBER('Resol  Asuntos'!D17/NºAsuntos!G17),'Resol  Asuntos'!D17/NºAsuntos!G17," - ")</f>
        <v>0.14650711513583442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78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771</v>
      </c>
      <c r="AC18" s="547">
        <f>IF(ISNUMBER(Datos!Q18),Datos!Q18," - ")</f>
        <v>5</v>
      </c>
      <c r="AD18" s="549"/>
      <c r="AE18" s="562"/>
      <c r="AF18" s="551">
        <f>IF(ISNUMBER(Datos!L18),Datos!L18,"-")</f>
        <v>78</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46</v>
      </c>
      <c r="BD18" s="693">
        <f>IF(ISNUMBER(Datos!N18),Datos!N18," - ")</f>
        <v>515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1.0065274151436032</v>
      </c>
      <c r="BH18" s="764">
        <f>IF(ISNUMBER(((IF(D_I="SI",Datos!L18/Datos!K18,(Datos!L18+Datos!AF18)/(Datos!K18+Datos!AE18)))*11)/factor_trimestre),((IF(D_I="SI",Datos!L18/Datos!K18,(Datos!L18+Datos!AF18)/(Datos!K18+Datos!AE18)))*11)/factor_trimestre," - ")</f>
        <v>1.1128404669260701</v>
      </c>
      <c r="BI18" s="763">
        <f>IF(ISNUMBER('Resol  Asuntos'!D18/NºAsuntos!G18),'Resol  Asuntos'!D18/NºAsuntos!G18," - ")</f>
        <v>5.9662775616083012E-2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9</v>
      </c>
      <c r="F23" s="1197">
        <f>SUBTOTAL(9,F16:F22)</f>
        <v>2068</v>
      </c>
      <c r="G23" s="1197">
        <f>SUBTOTAL(9,G16:G22)</f>
        <v>1957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10047</v>
      </c>
      <c r="AC23" s="1198">
        <f t="shared" si="5"/>
        <v>724</v>
      </c>
      <c r="AD23" s="1198">
        <f t="shared" si="5"/>
        <v>0</v>
      </c>
      <c r="AE23" s="1198">
        <f t="shared" si="5"/>
        <v>0</v>
      </c>
      <c r="AF23" s="1198">
        <f t="shared" si="5"/>
        <v>2248</v>
      </c>
      <c r="AG23" s="1198">
        <f t="shared" si="5"/>
        <v>0</v>
      </c>
      <c r="AH23" s="1198">
        <f t="shared" si="5"/>
        <v>0</v>
      </c>
      <c r="AI23" s="1198">
        <f t="shared" si="5"/>
        <v>0</v>
      </c>
      <c r="AJ23" s="1198">
        <f t="shared" si="5"/>
        <v>0</v>
      </c>
      <c r="AK23" s="1198">
        <f t="shared" si="5"/>
        <v>0</v>
      </c>
      <c r="AL23" s="1198">
        <f t="shared" si="5"/>
        <v>0</v>
      </c>
      <c r="AM23" s="1198">
        <f t="shared" si="5"/>
        <v>544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1405</v>
      </c>
      <c r="BD23" s="1198">
        <f t="shared" si="5"/>
        <v>6249</v>
      </c>
      <c r="BE23" s="1198">
        <f t="shared" si="5"/>
        <v>0</v>
      </c>
      <c r="BF23" s="1198">
        <f t="shared" si="5"/>
        <v>0</v>
      </c>
      <c r="BG23" s="1198">
        <f>IF(ISNUMBER(Datos!K23/Datos!J23),Datos!K23/Datos!J23," - ")</f>
        <v>0.99043769716088326</v>
      </c>
      <c r="BH23" s="1202">
        <f>IF(ISNUMBER(((Datos!L23/Datos!K23)*11)/factor_trimestre),((Datos!L23/Datos!K23)*11)/factor_trimestre," - ")</f>
        <v>2.4612322086194887</v>
      </c>
      <c r="BI23" s="1198">
        <f>SUBTOTAL(9,BI16:BI22)</f>
        <v>0.20616989075191744</v>
      </c>
      <c r="BJ23" s="1198">
        <f>SUBTOTAL(9,BJ16:BJ22)</f>
        <v>0</v>
      </c>
      <c r="BK23" s="1198">
        <f>SUBTOTAL(9,BK16:BK22)</f>
        <v>0</v>
      </c>
      <c r="BL23" s="1198">
        <f>IF(ISNUMBER((I23-AB23+L23)/(F23)),(I23-AB23+L23)/(F23)," - ")</f>
        <v>-4.8583172147001932</v>
      </c>
      <c r="BM23" s="1205">
        <f>IF(ISNUMBER((Datos!P23-Datos!Q23)/(Datos!R23-Datos!P23+Datos!Q23)),(Datos!P23-Datos!Q23)/(Datos!R23-Datos!P23+Datos!Q23)," - ")</f>
        <v>9.2764378478664197E-3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18</v>
      </c>
      <c r="F31" s="1117">
        <f t="shared" si="18"/>
        <v>2099</v>
      </c>
      <c r="G31" s="1117">
        <f t="shared" si="18"/>
        <v>1988</v>
      </c>
      <c r="H31" s="1119">
        <f t="shared" si="18"/>
        <v>0</v>
      </c>
      <c r="I31" s="1117">
        <f t="shared" si="18"/>
        <v>0</v>
      </c>
      <c r="J31" s="1119">
        <f t="shared" si="18"/>
        <v>0</v>
      </c>
      <c r="K31" s="1119">
        <f t="shared" si="18"/>
        <v>0</v>
      </c>
      <c r="L31" s="1180">
        <f t="shared" si="18"/>
        <v>0</v>
      </c>
      <c r="M31" s="1180">
        <f t="shared" si="18"/>
        <v>0</v>
      </c>
      <c r="N31" s="1180">
        <f t="shared" si="18"/>
        <v>960</v>
      </c>
      <c r="O31" s="1180">
        <f t="shared" si="18"/>
        <v>0</v>
      </c>
      <c r="P31" s="1180">
        <f t="shared" si="18"/>
        <v>0</v>
      </c>
      <c r="Q31" s="1119">
        <f t="shared" si="18"/>
        <v>2397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10116</v>
      </c>
      <c r="AC31" s="1118">
        <f t="shared" si="19"/>
        <v>2477</v>
      </c>
      <c r="AD31" s="1118">
        <f t="shared" si="19"/>
        <v>0</v>
      </c>
      <c r="AE31" s="1118">
        <f t="shared" si="19"/>
        <v>0</v>
      </c>
      <c r="AF31" s="1125">
        <f t="shared" si="19"/>
        <v>2270</v>
      </c>
      <c r="AG31" s="1125">
        <f t="shared" si="19"/>
        <v>0</v>
      </c>
      <c r="AH31" s="1125">
        <f t="shared" si="19"/>
        <v>199</v>
      </c>
      <c r="AI31" s="1125">
        <f t="shared" si="19"/>
        <v>0</v>
      </c>
      <c r="AJ31" s="1118">
        <f t="shared" si="19"/>
        <v>0</v>
      </c>
      <c r="AK31" s="1125">
        <f t="shared" si="19"/>
        <v>0</v>
      </c>
      <c r="AL31" s="1125">
        <f t="shared" si="19"/>
        <v>0</v>
      </c>
      <c r="AM31" s="1125">
        <f t="shared" si="19"/>
        <v>7507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2837</v>
      </c>
      <c r="BD31" s="1117">
        <f t="shared" si="19"/>
        <v>10088</v>
      </c>
      <c r="BE31" s="1117">
        <f t="shared" si="19"/>
        <v>0</v>
      </c>
      <c r="BF31" s="1127">
        <f t="shared" si="19"/>
        <v>0</v>
      </c>
      <c r="BG31" s="1223">
        <f>IF(ISNUMBER(Datos!K31/Datos!J31),Datos!K31/Datos!J31," - ")</f>
        <v>0.99204427533725359</v>
      </c>
      <c r="BH31" s="1223">
        <f>IF(ISNUMBER(((Datos!L31/Datos!K31)*11)/factor_trimestre),((Datos!L31/Datos!K31)*11)/factor_trimestre," - ")</f>
        <v>3.3706996745699671</v>
      </c>
      <c r="BI31" s="1103">
        <f>IF(ISNUMBER(Datos!J31/Datos!I31),Datos!J31/Datos!I31," - ")</f>
        <v>3.5356706074194864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-4.8194378275369223</v>
      </c>
      <c r="BM31" s="1188">
        <f>IF(ISNUMBER((Datos!P31-Datos!Q31+R31)/(Datos!R31-Datos!P31+Datos!Q31-R31)),(Datos!P31-Datos!Q31+R31)/(Datos!R31-Datos!P31+Datos!Q31-R31)," - ")</f>
        <v>-1.0544352181362857E-2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3.5260102861466098</v>
      </c>
      <c r="F33" s="673">
        <f>IF(ISNUMBER(STDEV(F8:F30)),STDEV(F8:F30),"-")</f>
        <v>1059.997106914291</v>
      </c>
      <c r="G33" s="674">
        <f>IF(ISNUMBER(STDEV(G8:G30)),STDEV(G8:G30),"-")</f>
        <v>922.86943821973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4638.8591885752012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739.12259760185543</v>
      </c>
      <c r="BD33" s="673"/>
      <c r="BE33" s="673">
        <f>IF(ISNUMBER(STDEV(BE8:BE30)),STDEV(BE8:BE30),"-")</f>
        <v>0</v>
      </c>
      <c r="BF33" s="678">
        <f>IF(ISNUMBER(STDEV(BF8:BF30)),STDEV(BF8:BF30),"-")</f>
        <v>0</v>
      </c>
      <c r="BG33" s="1052">
        <f>IF(ISNUMBER(STDEV(BG8:BG30)),STDEV(BG8:BG30),"-")</f>
        <v>6.3364154069164944E-2</v>
      </c>
      <c r="BH33" s="1058">
        <f>IF(ISNUMBER(STDEV(BH8:BH30)),STDEV(BH8:BH30),"-")</f>
        <v>1.324932072769726</v>
      </c>
      <c r="BI33" s="273">
        <f>IF(ISNUMBER(STDEV(BI8:BI30)),STDEV(BI8:BI30),"-")</f>
        <v>6.3125150441018421E-2</v>
      </c>
      <c r="BJ33" s="244" t="str">
        <f>IF(ISNUMBER(BL33/BM33),BL33/BM33," - ")</f>
        <v xml:space="preserve"> - </v>
      </c>
      <c r="BK33" s="709"/>
      <c r="BL33" s="681">
        <f>IF(ISNUMBER(STDEV(BL8:BL30)),STDEV(BL8:BL30),"-")</f>
        <v>1.861466212125596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2yL2aQbgyNv3HLUzVXbuQD6NyrGzPY3AUPty2x4owr7bl/Qk/SimSgsi9fCSSm1xPltjvA70GFQZca1xuG2xFA==" saltValue="2IDOI672/tQA19BB0BBRV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LEGANES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31</v>
      </c>
      <c r="G10" s="552">
        <f>IF(ISNUMBER(Datos!I10),Datos!I10," - ")</f>
        <v>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69</v>
      </c>
      <c r="Z10" s="805">
        <f>IF(ISNUMBER(Datos!Q10),Datos!Q10," - ")</f>
        <v>22</v>
      </c>
      <c r="AA10" s="551">
        <f>IF(ISNUMBER(Datos!L10),Datos!L10,"-")</f>
        <v>22</v>
      </c>
      <c r="AB10" s="549"/>
      <c r="AC10" s="549"/>
      <c r="AD10" s="563"/>
      <c r="AE10" s="563">
        <f>IF(ISNUMBER(Datos!R10),Datos!R10," - ")</f>
        <v>65</v>
      </c>
      <c r="AF10" s="693" t="str">
        <f>IF(ISNUMBER(Datos!BV10),Datos!BV10," - ")</f>
        <v xml:space="preserve"> - </v>
      </c>
      <c r="AG10" s="552" t="str">
        <f>IF(ISNUMBER(Datos!DV10),Datos!DV10," - ")</f>
        <v xml:space="preserve"> - </v>
      </c>
      <c r="AH10" s="553"/>
      <c r="AI10" s="554"/>
      <c r="AJ10" s="552">
        <f>IF(ISNUMBER(Datos!M10),Datos!M10," - ")</f>
        <v>27</v>
      </c>
      <c r="AK10" s="693">
        <f>IF(ISNUMBER(Datos!N10),Datos!N10," - ")</f>
        <v>29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3.5072463768115938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1.5625E-2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1731</v>
      </c>
      <c r="AA12" s="551" t="str">
        <f>IF(ISNUMBER(IF(J_V="SI",Datos!L12,Datos!L12+Datos!AB12)-IF(Monitorios="SI",Datos!CD12,0)),
                          IF(J_V="SI",Datos!L12,Datos!L12+Datos!AB12)-IF(Monitorios="SI",Datos!CD12,0),
                          " - ")</f>
        <v xml:space="preserve"> - </v>
      </c>
      <c r="AB12" s="549"/>
      <c r="AC12" s="549"/>
      <c r="AD12" s="563"/>
      <c r="AE12" s="563">
        <f>IF(ISNUMBER(Datos!R12),Datos!R12," - ")</f>
        <v>6898</v>
      </c>
      <c r="AF12" s="693" t="str">
        <f>IF(ISNUMBER(Datos!BV12),Datos!BV12," - ")</f>
        <v xml:space="preserve"> - </v>
      </c>
      <c r="AG12" s="552" t="str">
        <f>IF(ISNUMBER(Datos!DV12),Datos!DV12," - ")</f>
        <v xml:space="preserve"> - </v>
      </c>
      <c r="AH12" s="553"/>
      <c r="AI12" s="554"/>
      <c r="AJ12" s="552">
        <f>IF(ISNUMBER(Datos!M12),Datos!M12," - ")</f>
        <v>1405</v>
      </c>
      <c r="AK12" s="693">
        <f>IF(ISNUMBER(Datos!N12),Datos!N12," - ")</f>
        <v>3810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4.3591584158415841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-1.2313860252004582E-2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9</v>
      </c>
      <c r="F14" s="1197">
        <f>SUBTOTAL(9,F8:F13)</f>
        <v>31</v>
      </c>
      <c r="G14" s="1197">
        <f>SUBTOTAL(9,G8:G13)</f>
        <v>31</v>
      </c>
      <c r="H14" s="1211"/>
      <c r="I14" s="1197">
        <f t="shared" ref="I14:N14" si="1">SUBTOTAL(9,I8:I13)</f>
        <v>0</v>
      </c>
      <c r="J14" s="1164">
        <f t="shared" si="1"/>
        <v>0</v>
      </c>
      <c r="K14" s="1211">
        <f t="shared" si="1"/>
        <v>0</v>
      </c>
      <c r="L14" s="1211">
        <f t="shared" si="1"/>
        <v>0</v>
      </c>
      <c r="M14" s="1211">
        <f t="shared" si="1"/>
        <v>0</v>
      </c>
      <c r="N14" s="1211">
        <f t="shared" si="1"/>
        <v>1668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69</v>
      </c>
      <c r="Z14" s="1210">
        <f t="shared" si="3"/>
        <v>1753</v>
      </c>
      <c r="AA14" s="1199">
        <f t="shared" si="3"/>
        <v>22</v>
      </c>
      <c r="AB14" s="1199">
        <f t="shared" si="3"/>
        <v>0</v>
      </c>
      <c r="AC14" s="1199">
        <f t="shared" si="3"/>
        <v>0</v>
      </c>
      <c r="AD14" s="1199">
        <f t="shared" si="3"/>
        <v>0</v>
      </c>
      <c r="AE14" s="1199">
        <f t="shared" si="3"/>
        <v>6963</v>
      </c>
      <c r="AF14" s="1211">
        <f t="shared" si="3"/>
        <v>0</v>
      </c>
      <c r="AG14" s="1211">
        <f t="shared" si="3"/>
        <v>0</v>
      </c>
      <c r="AH14" s="1211">
        <f t="shared" si="3"/>
        <v>0</v>
      </c>
      <c r="AI14" s="1211">
        <f t="shared" si="3"/>
        <v>0</v>
      </c>
      <c r="AJ14" s="1211">
        <f t="shared" si="3"/>
        <v>1432</v>
      </c>
      <c r="AK14" s="1211">
        <f t="shared" si="3"/>
        <v>3839</v>
      </c>
      <c r="AL14" s="1211">
        <f t="shared" si="3"/>
        <v>0</v>
      </c>
      <c r="AM14" s="1211">
        <f t="shared" si="3"/>
        <v>0</v>
      </c>
      <c r="AN14" s="1211">
        <f t="shared" si="3"/>
        <v>0</v>
      </c>
      <c r="AO14" s="1203">
        <f>IF(ISNUMBER(((NºAsuntos!I14/NºAsuntos!G14)*11)/factor_trimestre),((NºAsuntos!I14/NºAsuntos!G14)*11)/factor_trimestre," - ")</f>
        <v>4.3519450239293169</v>
      </c>
      <c r="AP14" s="1213" t="str">
        <f>IF(ISNUMBER(Datos!CI14/Datos!CJ14),Datos!CI14/Datos!CJ14," - ")</f>
        <v xml:space="preserve"> - </v>
      </c>
      <c r="AQ14" s="1236">
        <f t="shared" ref="AQ14:AV14" si="4">SUBTOTAL(9,AQ9:AQ13)</f>
        <v>0</v>
      </c>
      <c r="AR14" s="1236">
        <f t="shared" si="4"/>
        <v>3.3111397479954185E-3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2068</v>
      </c>
      <c r="G17" s="552">
        <f>IF(ISNUMBER(IF(D_I="SI",Datos!I17,Datos!I17+Datos!AC17)),IF(D_I="SI",Datos!I17,Datos!I17+Datos!AC17)," - ")</f>
        <v>1879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9276</v>
      </c>
      <c r="Z17" s="805">
        <f>IF(ISNUMBER(Datos!Q17),Datos!Q17," - ")</f>
        <v>719</v>
      </c>
      <c r="AA17" s="551">
        <f>IF(ISNUMBER(IF(D_I="SI",Datos!L17,Datos!L17+Datos!AF17)),IF(D_I="SI",Datos!L17,Datos!L17+Datos!AF17)," - ")</f>
        <v>2170</v>
      </c>
      <c r="AB17" s="549"/>
      <c r="AC17" s="549"/>
      <c r="AD17" s="563"/>
      <c r="AE17" s="563">
        <f>IF(ISNUMBER(Datos!R17),Datos!R17," - ")</f>
        <v>540</v>
      </c>
      <c r="AF17" s="693" t="str">
        <f>IF(ISNUMBER(Datos!BV17),Datos!BV17," - ")</f>
        <v xml:space="preserve"> - </v>
      </c>
      <c r="AG17" s="552"/>
      <c r="AH17" s="553"/>
      <c r="AI17" s="554"/>
      <c r="AJ17" s="552">
        <f>IF(ISNUMBER(Datos!M17),Datos!M17," - ")</f>
        <v>1359</v>
      </c>
      <c r="AK17" s="693">
        <f>IF(ISNUMBER(Datos!N17),Datos!N17," - ")</f>
        <v>5734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2.5733074601121171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78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771</v>
      </c>
      <c r="Z18" s="805">
        <f>IF(ISNUMBER(Datos!Q18),Datos!Q18," - ")</f>
        <v>5</v>
      </c>
      <c r="AA18" s="551">
        <f>IF(ISNUMBER(Datos!L18),Datos!L18,"-")</f>
        <v>78</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46</v>
      </c>
      <c r="AK18" s="693">
        <f>IF(ISNUMBER(Datos!N18),Datos!N18," - ")</f>
        <v>515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1.1128404669260701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9</v>
      </c>
      <c r="F23" s="1197">
        <f>SUBTOTAL(9,F16:F22)</f>
        <v>2068</v>
      </c>
      <c r="G23" s="1197">
        <f>SUBTOTAL(9,G16:G22)</f>
        <v>1957</v>
      </c>
      <c r="H23" s="1240">
        <f>SUBTOTAL(9,H16:H22)</f>
        <v>0</v>
      </c>
      <c r="I23" s="1217">
        <f>SUBTOTAL(9,I16:I22)</f>
        <v>0</v>
      </c>
      <c r="J23" s="1164">
        <f>SUBTOTAL(9,J15:J22)</f>
        <v>0</v>
      </c>
      <c r="K23" s="1240">
        <f t="shared" ref="K23:S23" si="5">SUBTOTAL(9,K16:K22)</f>
        <v>0</v>
      </c>
      <c r="L23" s="1240">
        <f t="shared" si="5"/>
        <v>0</v>
      </c>
      <c r="M23" s="1240">
        <f t="shared" si="5"/>
        <v>0</v>
      </c>
      <c r="N23" s="1240">
        <f t="shared" si="5"/>
        <v>729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10047</v>
      </c>
      <c r="Z23" s="1240">
        <f t="shared" si="6"/>
        <v>724</v>
      </c>
      <c r="AA23" s="1240">
        <f t="shared" si="6"/>
        <v>2248</v>
      </c>
      <c r="AB23" s="1240">
        <f t="shared" si="6"/>
        <v>0</v>
      </c>
      <c r="AC23" s="1240">
        <f t="shared" si="6"/>
        <v>0</v>
      </c>
      <c r="AD23" s="1240">
        <f t="shared" si="6"/>
        <v>0</v>
      </c>
      <c r="AE23" s="1240">
        <f t="shared" si="6"/>
        <v>544</v>
      </c>
      <c r="AF23" s="1240">
        <f t="shared" si="6"/>
        <v>0</v>
      </c>
      <c r="AG23" s="1240">
        <f t="shared" si="6"/>
        <v>0</v>
      </c>
      <c r="AH23" s="1240">
        <f t="shared" si="6"/>
        <v>0</v>
      </c>
      <c r="AI23" s="1240">
        <f t="shared" si="6"/>
        <v>0</v>
      </c>
      <c r="AJ23" s="1240">
        <f t="shared" si="6"/>
        <v>1405</v>
      </c>
      <c r="AK23" s="1240">
        <f t="shared" si="6"/>
        <v>6249</v>
      </c>
      <c r="AL23" s="1240">
        <f t="shared" si="6"/>
        <v>0</v>
      </c>
      <c r="AM23" s="1240">
        <f t="shared" si="6"/>
        <v>0</v>
      </c>
      <c r="AN23" s="1240">
        <f t="shared" si="6"/>
        <v>0</v>
      </c>
      <c r="AO23" s="1242">
        <f>IF(ISNUMBER(((NºAsuntos!I23/NºAsuntos!G23)*11)/factor_trimestre),((NºAsuntos!I23/NºAsuntos!G23)*11)/factor_trimestre," - ")</f>
        <v>2.4612322086194887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2099</v>
      </c>
      <c r="G31" s="1117">
        <f t="shared" si="12"/>
        <v>1988</v>
      </c>
      <c r="H31" s="1118">
        <f t="shared" si="12"/>
        <v>0</v>
      </c>
      <c r="I31" s="1117">
        <f t="shared" si="12"/>
        <v>0</v>
      </c>
      <c r="J31" s="1119">
        <f t="shared" si="12"/>
        <v>0</v>
      </c>
      <c r="K31" s="1117">
        <f t="shared" si="12"/>
        <v>0</v>
      </c>
      <c r="L31" s="1120">
        <f t="shared" si="12"/>
        <v>0</v>
      </c>
      <c r="M31" s="1117">
        <f t="shared" si="12"/>
        <v>0</v>
      </c>
      <c r="N31" s="1118">
        <f t="shared" si="12"/>
        <v>2397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10116</v>
      </c>
      <c r="Z31" s="1124">
        <f t="shared" si="13"/>
        <v>2477</v>
      </c>
      <c r="AA31" s="1125">
        <f t="shared" si="13"/>
        <v>2270</v>
      </c>
      <c r="AB31" s="1125">
        <f t="shared" si="13"/>
        <v>0</v>
      </c>
      <c r="AC31" s="1125">
        <f t="shared" si="13"/>
        <v>0</v>
      </c>
      <c r="AD31" s="1126">
        <f t="shared" si="13"/>
        <v>0</v>
      </c>
      <c r="AE31" s="1126">
        <f t="shared" si="13"/>
        <v>7507</v>
      </c>
      <c r="AF31" s="1127">
        <f t="shared" si="13"/>
        <v>0</v>
      </c>
      <c r="AG31" s="1128">
        <f t="shared" si="13"/>
        <v>0</v>
      </c>
      <c r="AH31" s="1129">
        <f t="shared" si="13"/>
        <v>0</v>
      </c>
      <c r="AI31" s="1127">
        <f t="shared" si="13"/>
        <v>0</v>
      </c>
      <c r="AJ31" s="1117">
        <f t="shared" si="13"/>
        <v>2837</v>
      </c>
      <c r="AK31" s="1117">
        <f t="shared" si="13"/>
        <v>10088</v>
      </c>
      <c r="AL31" s="1117">
        <f t="shared" si="13"/>
        <v>0</v>
      </c>
      <c r="AM31" s="1130">
        <f t="shared" si="13"/>
        <v>0</v>
      </c>
      <c r="AN31" s="1120">
        <f>IF(ISNUMBER(Datos!K31/Datos!J31),Datos!K31/Datos!J31," - ")</f>
        <v>0.99204427533725359</v>
      </c>
      <c r="AO31" s="1120">
        <f>IF(ISNUMBER(FIND("06",Criterios!A8,1)),(IF(ISNUMBER(((Datos!R31/Datos!Q31)*11)/factor_trimestre),((Datos!R31/Datos!Q31)*11)/factor_trimestre," - ")),(IF(ISNUMBER(((Datos!L31/Datos!K31)*11)/factor_trimestre),((Datos!L31/Datos!K31)*11)/factor_trimestre," - ")))</f>
        <v>3.3706996745699671</v>
      </c>
      <c r="AP31" s="1131" t="str">
        <f>IF(ISNUMBER(Datos!CI31/Datos!CJ31),Datos!CI31/Datos!CJ31," - ")</f>
        <v xml:space="preserve"> - </v>
      </c>
      <c r="AQ31" s="1131">
        <f>IF(OR(ISNUMBER(FIND("01",Criterios!A8,1)),ISNUMBER(FIND("02",Criterios!A8,1)),ISNUMBER(FIND("03",Criterios!A8,1)),ISNUMBER(FIND("04",Criterios!A8,1))),(J31-Y31+K31)/(F31-K31),(I31-Y31+K31)/(F31-K31))</f>
        <v>-4.8194378275369223</v>
      </c>
      <c r="AR31" s="1131">
        <f>IF(ISNUMBER((Datos!P31-Datos!Q31+O31)/(Datos!R31-Datos!P31+Datos!Q31-O31)),(Datos!P31-Datos!Q31+O31)/(Datos!R31-Datos!P31+Datos!Q31-O31)," - ")</f>
        <v>-1.0544352181362857E-2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1059.997106914291</v>
      </c>
      <c r="G33" s="674">
        <f>IF(ISNUMBER(STDEV(G8:G30)),STDEV(G8:G30),"-")</f>
        <v>922.86943821973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739.12259760185543</v>
      </c>
      <c r="AK33" s="276"/>
      <c r="AL33" s="276">
        <f>IF(ISNUMBER(STDEV(AL8:AL30)),STDEV(AL8:AL30),"-")</f>
        <v>0</v>
      </c>
      <c r="AM33" s="278">
        <f>IF(ISNUMBER(STDEV(AM8:AM30)),STDEV(AM8:AM30),"-")</f>
        <v>0</v>
      </c>
      <c r="AN33" s="660">
        <f>IF(ISNUMBER(STDEV(AN8:AN30)),STDEV(AN8:AN30),"-")</f>
        <v>0</v>
      </c>
      <c r="AO33" s="661">
        <f>IF(ISNUMBER(STDEV(AO8:AO30)),STDEV(AO8:AO30),"-")</f>
        <v>1.2604587361304576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xT1gftji9iXS5hbSg5fZ39o4h+Q5hd8tE8cOs3aHXV0xJwQJthgD7iG29hVBD/L/ADpDwOoTBVesV0JOmz4q+Q==" saltValue="Wlkz6IvWpi95OQD/1r8a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STNOj+m937tTzT0kASNt7mgkEECIF3mgq25mSynubQ/J0g1iagUwPGEKMuefHSYFOwPwhBWU+bQoEyNuwfl/w==" saltValue="nYUAk7wYmQ3NAaVlphQr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X0GN7ob9/oHN7cQloq0ppJbzi7eRTNSo5jDHjDXyKw7kQ/M3UvsFIsiaEYc/ZhDmSxhbMS9SO9IUtpeqIFLiw==" saltValue="4zvv8pUuQnLAuHUzcGMKD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LEGANES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0.17572708307767823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0.12425781208235807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D6RHOGJ4Xx1pt7bul0OqT+aHDX09hCHrYl1YgIElW2hneRtfmXSIf8Qnirj3khTrG7Dw+FKOd1jx2c9i8T119A==" saltValue="FGwUxhAJYx+1breBYHqS7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bQmUHvZvxBSrk/BKb8tOQCnisPELgMcgTw0ge3HuUqSneetpIWrmRGijdCsclbvDmoA9rNF65z8DvjioxUd3pQ==" saltValue="inMyiGNDZKrELOoC2O1e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LEGANES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31</v>
      </c>
      <c r="D10" s="452">
        <f>IF(ISNUMBER(C10/Datos!BH10),C10/Datos!BH10," - ")</f>
        <v>31</v>
      </c>
      <c r="E10" s="451">
        <f>IF(ISNUMBER(Datos!J10),Datos!J10," - ")</f>
        <v>60</v>
      </c>
      <c r="F10" s="452">
        <f>IF(ISNUMBER(E10/B10),E10/B10," - ")</f>
        <v>60</v>
      </c>
      <c r="G10" s="451">
        <f>IF(ISNUMBER(Datos!K10),Datos!K10," - ")</f>
        <v>69</v>
      </c>
      <c r="H10" s="452">
        <f>IF(ISNUMBER(G10/B10),G10/B10," - ")</f>
        <v>69</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3106</v>
      </c>
      <c r="D12" s="452">
        <f>IF(ISNUMBER(C12/Datos!BH12),C12/Datos!BH12," - ")</f>
        <v>388.25</v>
      </c>
      <c r="E12" s="451">
        <f>IF(ISNUMBER(IF(J_V="SI",Datos!J12,Datos!J12+Datos!Z12)),IF(J_V="SI",Datos!J12,Datos!J12+Datos!Z12)," - ")</f>
        <v>8102</v>
      </c>
      <c r="F12" s="452">
        <f>IF(ISNUMBER(E12/B12),E12/B12," - ")</f>
        <v>1012.75</v>
      </c>
      <c r="G12" s="451">
        <f>IF(ISNUMBER(IF(J_V="SI",Datos!K12,Datos!K12+Datos!AA12)),IF(J_V="SI",Datos!K12,Datos!K12+Datos!AA12)," - ")</f>
        <v>8080</v>
      </c>
      <c r="H12" s="452">
        <f>IF(ISNUMBER(G12/B12),G12/B12," - ")</f>
        <v>1010</v>
      </c>
      <c r="I12" s="451">
        <f>IF(ISNUMBER(IF(J_V="SI",Datos!L12,Datos!L12+Datos!AB12)),IF(J_V="SI",Datos!L12,Datos!L12+Datos!AB12)," - ")</f>
        <v>3202</v>
      </c>
      <c r="J12" s="452">
        <f>IF(ISNUMBER(I12/B12),I12/B12," - ")</f>
        <v>400.25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3137</v>
      </c>
      <c r="D14" s="1147" t="str">
        <f>IF(ISNUMBER(C14/Datos!BI14),C14/Datos!BI14," - ")</f>
        <v xml:space="preserve"> - </v>
      </c>
      <c r="E14" s="1146">
        <f>SUBTOTAL(9,E8:E13)</f>
        <v>8162</v>
      </c>
      <c r="F14" s="1147">
        <f>IF(ISNUMBER(E14/B14),E14/B14," - ")</f>
        <v>906.88888888888891</v>
      </c>
      <c r="G14" s="1146">
        <f>SUBTOTAL(9,G8:G13)</f>
        <v>8149</v>
      </c>
      <c r="H14" s="1147">
        <f>IF(ISNUMBER(G14/B14),G14/B14," - ")</f>
        <v>905.44444444444446</v>
      </c>
      <c r="I14" s="1146">
        <f>SUBTOTAL(9,I8:I13)</f>
        <v>3224</v>
      </c>
      <c r="J14" s="1147">
        <f>IF(ISNUMBER(I14/B14),I14/B14," - ")</f>
        <v>358.22222222222223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1879</v>
      </c>
      <c r="D17" s="452">
        <f>IF(ISNUMBER(C17/Datos!BH17),C17/Datos!BH17," - ")</f>
        <v>234.875</v>
      </c>
      <c r="E17" s="451">
        <f>IF(ISNUMBER(IF(D_I="SI",Datos!J17,Datos!J17+Datos!AD17)),IF(D_I="SI",Datos!J17,Datos!J17+Datos!AD17)," - ")</f>
        <v>9378</v>
      </c>
      <c r="F17" s="452">
        <f>IF(ISNUMBER(E17/B17),E17/B17," - ")</f>
        <v>1172.25</v>
      </c>
      <c r="G17" s="451">
        <f>IF(ISNUMBER(IF(D_I="SI",Datos!K17,Datos!K17+Datos!AE17)),IF(D_I="SI",Datos!K17,Datos!K17+Datos!AE17)," - ")</f>
        <v>9276</v>
      </c>
      <c r="H17" s="452">
        <f>IF(ISNUMBER(G17/B17),G17/B17," - ")</f>
        <v>1159.5</v>
      </c>
      <c r="I17" s="451">
        <f>IF(ISNUMBER(IF(D_I="SI",Datos!L17,Datos!L17+Datos!AF17)),IF(D_I="SI",Datos!L17,Datos!L17+Datos!AF17)," - ")</f>
        <v>2170</v>
      </c>
      <c r="J17" s="452">
        <f>IF(ISNUMBER(I17/B17),I17/B17," - ")</f>
        <v>271.25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78</v>
      </c>
      <c r="D18" s="452">
        <f>IF(ISNUMBER(C18/Datos!BH18),C18/Datos!BH18," - ")</f>
        <v>78</v>
      </c>
      <c r="E18" s="451">
        <f>IF(ISNUMBER(IF(D_I="SI",Datos!J18,Datos!J18+Datos!AD18)),IF(D_I="SI",Datos!J18,Datos!J18+Datos!AD18)," - ")</f>
        <v>766</v>
      </c>
      <c r="F18" s="452">
        <f>IF(ISNUMBER(E18/B18),E18/B18," - ")</f>
        <v>766</v>
      </c>
      <c r="G18" s="451">
        <f>IF(ISNUMBER(IF(D_I="SI",Datos!K18,Datos!K18+Datos!AE18)),IF(D_I="SI",Datos!K18,Datos!K18+Datos!AE18)," - ")</f>
        <v>771</v>
      </c>
      <c r="H18" s="452">
        <f>IF(ISNUMBER(G18/B18),G18/B18," - ")</f>
        <v>771</v>
      </c>
      <c r="I18" s="451">
        <f>IF(ISNUMBER(IF(D_I="SI",Datos!L18,Datos!L18+Datos!AF18)),IF(D_I="SI",Datos!L18,Datos!L18+Datos!AF18)," - ")</f>
        <v>78</v>
      </c>
      <c r="J18" s="452">
        <f>IF(ISNUMBER(I18/B18),I18/B18," - ")</f>
        <v>78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1957</v>
      </c>
      <c r="D23" s="1147" t="str">
        <f>IF(ISNUMBER(C23/Datos!BI23),C23/Datos!BI23," - ")</f>
        <v xml:space="preserve"> - </v>
      </c>
      <c r="E23" s="1146">
        <f>SUBTOTAL(9,E15:E22)</f>
        <v>10144</v>
      </c>
      <c r="F23" s="1147">
        <f>IF(ISNUMBER(E23/B23),E23/B23," - ")</f>
        <v>1127.1111111111111</v>
      </c>
      <c r="G23" s="1146">
        <f>SUBTOTAL(9,G15:G22)</f>
        <v>10047</v>
      </c>
      <c r="H23" s="1147">
        <f>IF(ISNUMBER(G23/B23),G23/B23," - ")</f>
        <v>1116.3333333333333</v>
      </c>
      <c r="I23" s="1146">
        <f>SUBTOTAL(9,I15:I22)</f>
        <v>2248</v>
      </c>
      <c r="J23" s="1147">
        <f>IF(ISNUMBER(I23/B23),I23/B23," - ")</f>
        <v>249.77777777777777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5094</v>
      </c>
      <c r="D31" s="1085" t="str">
        <f>IF(ISNUMBER(C31/Datos!BI31),C31/Datos!BI31," - ")</f>
        <v xml:space="preserve"> - </v>
      </c>
      <c r="E31" s="1084">
        <f>SUBTOTAL(9,E9:E30)</f>
        <v>18306</v>
      </c>
      <c r="F31" s="1085">
        <f>IF(ISNUMBER(E31/B31),E31/B31," - ")</f>
        <v>2034</v>
      </c>
      <c r="G31" s="1084">
        <f>SUBTOTAL(9,G9:G30)</f>
        <v>18196</v>
      </c>
      <c r="H31" s="1085">
        <f>IF(ISNUMBER(G31/B31),G31/B31," - ")</f>
        <v>2021.7777777777778</v>
      </c>
      <c r="I31" s="1084">
        <f>SUBTOTAL(9,I9:I30)</f>
        <v>5472</v>
      </c>
      <c r="J31" s="1085">
        <f>IF(ISNUMBER(I31/B31),I31/B31," - ")</f>
        <v>608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W2NuthWUGVOVaB9ThMZYm1CQPC3CwT57V1hwbwi1ghnwK1ANi77MPEbo0B9kZ/oA71+KGbWaAOrrK8YyQqrasQ==" saltValue="CNZrDYSLl7vt2LCq91cXG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LEGANES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31</v>
      </c>
      <c r="G10" s="906">
        <f>IF(ISNUMBER(Datos!I10),Datos!I10," - ")</f>
        <v>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69</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27</v>
      </c>
      <c r="AM10" s="914">
        <f>IF(ISNUMBER(Datos!N10+DatosP!N18),Datos!N10+DatosP!N18," - ")</f>
        <v>29</v>
      </c>
      <c r="AN10" s="914">
        <f>IF(ISNUMBER(Datos!BW10+DatosP!BW18),Datos!BW10+DatosP!BW18," - ")</f>
        <v>0</v>
      </c>
      <c r="AO10" s="915">
        <f>IF(ISNUMBER(Datos!BX10+DatosP!BX18),Datos!BX10+DatosP!BX18," - ")</f>
        <v>0</v>
      </c>
      <c r="AP10" s="917">
        <f>IF(ISNUMBER(((Datos!L10/Datos!K10)*11)/factor_trimestre),((Datos!L10/Datos!K10)*11)/factor_trimestre," - ")</f>
        <v>3.5072463768115938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1731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1405</v>
      </c>
      <c r="AM12" s="914">
        <f>IF(ISNUMBER(Datos!N12+DatosP!N17),Datos!N12+DatosP!N17," - ")</f>
        <v>3810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4.3591584158415841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-1.2313860252004582E-2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31</v>
      </c>
      <c r="G14" s="1256">
        <f t="shared" si="0"/>
        <v>31</v>
      </c>
      <c r="H14" s="1256">
        <f t="shared" si="0"/>
        <v>0</v>
      </c>
      <c r="I14" s="1258">
        <f t="shared" si="0"/>
        <v>0</v>
      </c>
      <c r="J14" s="1257">
        <f t="shared" si="0"/>
        <v>0</v>
      </c>
      <c r="K14" s="1257">
        <f t="shared" si="0"/>
        <v>0</v>
      </c>
      <c r="L14" s="1259">
        <f t="shared" si="0"/>
        <v>0</v>
      </c>
      <c r="M14" s="1259">
        <f t="shared" si="0"/>
        <v>0</v>
      </c>
      <c r="N14" s="1257">
        <f t="shared" si="0"/>
        <v>1668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69</v>
      </c>
      <c r="AC14" s="1257">
        <f t="shared" si="1"/>
        <v>0</v>
      </c>
      <c r="AD14" s="1257">
        <f t="shared" si="1"/>
        <v>1731</v>
      </c>
      <c r="AE14" s="1257">
        <f t="shared" si="1"/>
        <v>0</v>
      </c>
      <c r="AF14" s="1257">
        <f t="shared" si="1"/>
        <v>22</v>
      </c>
      <c r="AG14" s="1257">
        <f t="shared" si="1"/>
        <v>0</v>
      </c>
      <c r="AH14" s="1257">
        <f t="shared" si="1"/>
        <v>6898</v>
      </c>
      <c r="AI14" s="1257">
        <f t="shared" si="1"/>
        <v>0</v>
      </c>
      <c r="AJ14" s="1257">
        <f t="shared" si="1"/>
        <v>0</v>
      </c>
      <c r="AK14" s="1257">
        <f t="shared" si="1"/>
        <v>0</v>
      </c>
      <c r="AL14" s="1257">
        <f t="shared" si="1"/>
        <v>1432</v>
      </c>
      <c r="AM14" s="1257">
        <f t="shared" si="1"/>
        <v>3839</v>
      </c>
      <c r="AN14" s="1257">
        <f t="shared" si="1"/>
        <v>0</v>
      </c>
      <c r="AO14" s="1257">
        <f t="shared" si="1"/>
        <v>0</v>
      </c>
      <c r="AP14" s="1262">
        <f>IF(ISNUMBER(((Datos!L14/Datos!K14)*11)/factor_trimestre),((Datos!L14/Datos!K14)*11)/factor_trimestre," - ")</f>
        <v>4.6466973886328731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-2.225806451612903</v>
      </c>
      <c r="AU14" s="1257" t="str">
        <f>IF(ISNUMBER((DatosP!#REF!-DatosP!#REF!+DatosP!#REF!)/(DatosP!#REF!+DatosP!#REF!-DatosP!#REF!-DatosP!#REF!)),(DatosP!#REF!-DatosP!#REF!+DatosP!#REF!)/(DatosP!#REF!+DatosP!#REF!-DatosP!#REF!-DatosP!#REF!)," - ")</f>
        <v xml:space="preserve"> - </v>
      </c>
      <c r="AV14" s="1263">
        <f>SUBTOTAL(9,AV9:AV13)</f>
        <v>-1.2313860252004582E-2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2.4612322086194887</v>
      </c>
      <c r="AQ23" s="1262">
        <f>IF(ISNUMBER(((Datos!M23/Datos!L23)*11)/factor_trimestre),((Datos!M23/Datos!L23)*11)/factor_trimestre," - ")</f>
        <v>6.875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9.2764378478664197E-3</v>
      </c>
      <c r="AW23" s="1265">
        <f>IF(ISNUMBER((Datos!Q23-Datos!R23)/(Datos!S23-Datos!Q23+Datos!R23)),(Datos!Q23-Datos!R23)/(Datos!S23-Datos!Q23+Datos!R23)," - ")</f>
        <v>0.11320754716981132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31</v>
      </c>
      <c r="G31" s="1278">
        <f t="shared" si="8"/>
        <v>31</v>
      </c>
      <c r="H31" s="1278">
        <f t="shared" si="8"/>
        <v>0</v>
      </c>
      <c r="I31" s="1279">
        <f t="shared" si="8"/>
        <v>0</v>
      </c>
      <c r="J31" s="1280">
        <f t="shared" si="8"/>
        <v>0</v>
      </c>
      <c r="K31" s="1280">
        <f t="shared" si="8"/>
        <v>0</v>
      </c>
      <c r="L31" s="1280">
        <f t="shared" si="8"/>
        <v>0</v>
      </c>
      <c r="M31" s="1280">
        <f t="shared" si="8"/>
        <v>0</v>
      </c>
      <c r="N31" s="1279">
        <f t="shared" si="8"/>
        <v>1668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69</v>
      </c>
      <c r="AC31" s="1284">
        <f t="shared" si="9"/>
        <v>0</v>
      </c>
      <c r="AD31" s="1284">
        <f t="shared" si="9"/>
        <v>1731</v>
      </c>
      <c r="AE31" s="1284">
        <f t="shared" si="9"/>
        <v>0</v>
      </c>
      <c r="AF31" s="1285">
        <f t="shared" si="9"/>
        <v>22</v>
      </c>
      <c r="AG31" s="1285">
        <f t="shared" si="9"/>
        <v>0</v>
      </c>
      <c r="AH31" s="1285">
        <f t="shared" si="9"/>
        <v>6898</v>
      </c>
      <c r="AI31" s="1285">
        <f t="shared" si="9"/>
        <v>0</v>
      </c>
      <c r="AJ31" s="1286">
        <f t="shared" si="9"/>
        <v>0</v>
      </c>
      <c r="AK31" s="1286">
        <f t="shared" si="9"/>
        <v>0</v>
      </c>
      <c r="AL31" s="1278">
        <f t="shared" si="9"/>
        <v>1432</v>
      </c>
      <c r="AM31" s="1278">
        <f t="shared" si="9"/>
        <v>3839</v>
      </c>
      <c r="AN31" s="1278">
        <f t="shared" si="9"/>
        <v>0</v>
      </c>
      <c r="AO31" s="1278">
        <f t="shared" si="9"/>
        <v>0</v>
      </c>
      <c r="AP31" s="1278">
        <f>IF(ISNUMBER(((Datos!L31/Datos!K31)*11)/factor_trimestre),((Datos!L31/Datos!K31)*11)/factor_trimestre," - ")</f>
        <v>3.3706996745699671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-2.225806451612903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-1.0544352181362857E-2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16.97939928266015</v>
      </c>
      <c r="G33" s="1007">
        <f>IF(ISNUMBER(STDEV(G8:G30)),STDEV(G8:G30),"-")</f>
        <v>16.97939928266015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37.79285646785646</v>
      </c>
      <c r="AC33" s="1008">
        <f>IF(ISNUMBER(STDEV(AC8:AC30)),STDEV(AC8:AC30),"-")</f>
        <v>0</v>
      </c>
      <c r="AD33" s="1011"/>
      <c r="AE33" s="1011"/>
      <c r="AF33" s="1011"/>
      <c r="AG33" s="1011"/>
      <c r="AH33" s="1011"/>
      <c r="AI33" s="1011"/>
      <c r="AJ33" s="1012">
        <f>IF(ISNUMBER(STDEV(AJ8:AJ30)),STDEV(AJ8:AJ30),"-")</f>
        <v>0</v>
      </c>
      <c r="AK33" s="1014"/>
      <c r="AL33" s="1006">
        <f>IF(ISNUMBER(STDEV(AL8:AL30)),STDEV(AL8:AL30),"-")</f>
        <v>729.14955027529618</v>
      </c>
      <c r="AM33" s="1006"/>
      <c r="AN33" s="1006">
        <f>IF(ISNUMBER(STDEV(AN8:AN30)),STDEV(AN8:AN30),"-")</f>
        <v>0</v>
      </c>
      <c r="AO33" s="1012">
        <f>IF(ISNUMBER(STDEV(AO8:AO30)),STDEV(AO8:AO30),"-")</f>
        <v>0</v>
      </c>
      <c r="AP33" s="1065">
        <f>IF(ISNUMBER(STDEV(AP8:AP30)),STDEV(AP8:AP30),"-")</f>
        <v>0.98231482447620744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eDsj13oDCZAF+DOh1gwo6G4QQ32kxhsyomdhJrNp7yLNYR+e/rMUOcb9p54E5gprZDiPsB7Cjf153dt50Q6tNQ==" saltValue="hTVOxFlgS4uTuGjhAAN6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LEGANES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7j5e/MEGqbXYrkbnfmzxFL1Awjxm6E5iBjyuXx7hD+NpONfaJnr897Km9q36WR5q9OwY0gqkcYG+LryENsp/PA==" saltValue="14HaZNp6aw9950Lfbghx8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LEGANES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27</v>
      </c>
      <c r="E10" s="452">
        <f>IF(ISNUMBER(D10/B10),D10/B10," - ")</f>
        <v>27</v>
      </c>
      <c r="F10" s="451">
        <f>IF(ISNUMBER(Datos!N10),Datos!N10," - ")</f>
        <v>29</v>
      </c>
      <c r="G10" s="452">
        <f>IF(ISNUMBER(F10/B10),F10/B10," - ")</f>
        <v>29</v>
      </c>
      <c r="H10" s="451">
        <f>IF(ISNUMBER(Datos!O10),Datos!O10," - ")</f>
        <v>27</v>
      </c>
      <c r="I10" s="452">
        <f t="shared" ref="I10:I13" si="2">IF(ISNUMBER(H10/B10),H10/B10," - ")</f>
        <v>27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1405</v>
      </c>
      <c r="E12" s="452">
        <f t="shared" si="0"/>
        <v>175.625</v>
      </c>
      <c r="F12" s="451">
        <f>IF(ISNUMBER(Datos!N12),Datos!N12," - ")</f>
        <v>3810</v>
      </c>
      <c r="G12" s="452">
        <f t="shared" si="1"/>
        <v>476.25</v>
      </c>
      <c r="H12" s="451">
        <f>IF(ISNUMBER(Datos!O12),Datos!O12," - ")</f>
        <v>3450</v>
      </c>
      <c r="I12" s="452">
        <f t="shared" si="2"/>
        <v>431.25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1432</v>
      </c>
      <c r="E14" s="1147">
        <f t="shared" si="0"/>
        <v>159.11111111111111</v>
      </c>
      <c r="F14" s="1146">
        <f>SUBTOTAL(9,F9:F13)</f>
        <v>3839</v>
      </c>
      <c r="G14" s="1147">
        <f t="shared" si="1"/>
        <v>426.55555555555554</v>
      </c>
      <c r="H14" s="1146">
        <f>SUBTOTAL(9,H9:H13)</f>
        <v>3477</v>
      </c>
      <c r="I14" s="1147">
        <f>IF(ISNUMBER(H14/B14),H14/B14," - ")</f>
        <v>386.33333333333331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1359</v>
      </c>
      <c r="E17" s="452">
        <f t="shared" si="3"/>
        <v>169.875</v>
      </c>
      <c r="F17" s="451">
        <f>IF(ISNUMBER(Datos!N17),Datos!N17," - ")</f>
        <v>5734</v>
      </c>
      <c r="G17" s="452">
        <f t="shared" si="4"/>
        <v>716.75</v>
      </c>
      <c r="H17" s="451">
        <f>IF(ISNUMBER(Datos!O17),Datos!O17," - ")</f>
        <v>186</v>
      </c>
      <c r="I17" s="452">
        <f t="shared" si="5"/>
        <v>23.25</v>
      </c>
    </row>
    <row r="18" spans="1:9">
      <c r="A18" s="450" t="str">
        <f>Datos!A18</f>
        <v>Jdos. Violencia contra la mujer</v>
      </c>
      <c r="B18" s="480">
        <f>Datos!AO18</f>
        <v>1</v>
      </c>
      <c r="C18" s="481">
        <f>Datos!AQ18</f>
        <v>1</v>
      </c>
      <c r="D18" s="451">
        <f>IF(ISNUMBER(Datos!M18),Datos!M18," - ")</f>
        <v>46</v>
      </c>
      <c r="E18" s="452">
        <f>IF(ISNUMBER(D18/B18),D18/B18," - ")</f>
        <v>46</v>
      </c>
      <c r="F18" s="451">
        <f>IF(ISNUMBER(Datos!N18),Datos!N18," - ")</f>
        <v>515</v>
      </c>
      <c r="G18" s="452">
        <f>IF(ISNUMBER(F18/B18),F18/B18," - ")</f>
        <v>515</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1405</v>
      </c>
      <c r="E23" s="1147">
        <f t="shared" si="3"/>
        <v>156.11111111111111</v>
      </c>
      <c r="F23" s="1146">
        <f>SUBTOTAL(9,F16:F22)</f>
        <v>6249</v>
      </c>
      <c r="G23" s="1147">
        <f t="shared" si="4"/>
        <v>694.33333333333337</v>
      </c>
      <c r="H23" s="1146">
        <f>SUBTOTAL(9,H16:H22)</f>
        <v>188</v>
      </c>
      <c r="I23" s="1147">
        <f>IF(ISNUMBER(H23/B23),H23/B23," - ")</f>
        <v>20.888888888888889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2837</v>
      </c>
      <c r="E31" s="1085">
        <f>IF(ISNUMBER(D31/B31),D31/B31," - ")</f>
        <v>315.22222222222223</v>
      </c>
      <c r="F31" s="1084">
        <f>SUBTOTAL(9,F8:F30)</f>
        <v>10088</v>
      </c>
      <c r="G31" s="1085">
        <f>IF(ISNUMBER(F31/B31),F31/B31," - ")</f>
        <v>1120.8888888888889</v>
      </c>
      <c r="H31" s="1084">
        <f>SUBTOTAL(9,H8:H30)</f>
        <v>3665</v>
      </c>
      <c r="I31" s="1085">
        <f>IF(ISNUMBER(H31/B31),H31/B31," - ")</f>
        <v>407.22222222222223</v>
      </c>
    </row>
    <row r="34" spans="1:1">
      <c r="A34" s="439" t="str">
        <f>Criterios!A4</f>
        <v>Fecha Informe: 15 abr. 2023</v>
      </c>
    </row>
    <row r="39" spans="1:1">
      <c r="A39" s="462"/>
    </row>
  </sheetData>
  <sheetProtection algorithmName="SHA-512" hashValue="361+kfG7XX8VJkalTQcYif/vDaZ5iBH81IXZpXFdGzQ/YzdVYgf8ihN+bMBAG+W4F05obyGXEUURYGshJhRF0g==" saltValue="gPZgol80jbllSXtgnyF5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LEGANES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23</v>
      </c>
      <c r="C10" s="489">
        <f>IF(ISNUMBER(Datos!Q10),Datos!Q10," - ")</f>
        <v>22</v>
      </c>
      <c r="D10" s="456">
        <f>IF(ISNUMBER(Datos!R10),Datos!R10," - ")</f>
        <v>65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1645</v>
      </c>
      <c r="C12" s="489">
        <f>IF(ISNUMBER(Datos!Q12),Datos!Q12," - ")</f>
        <v>1731</v>
      </c>
      <c r="D12" s="456">
        <f>IF(ISNUMBER(Datos!R12),Datos!R12," - ")</f>
        <v>6898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1668</v>
      </c>
      <c r="C14" s="1150">
        <f>SUBTOTAL(9,C9:C13)</f>
        <v>1753</v>
      </c>
      <c r="D14" s="1148">
        <f>SUBTOTAL(9,D9:D13)</f>
        <v>6963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721</v>
      </c>
      <c r="C17" s="489">
        <f>IF(ISNUMBER(Datos!Q17),Datos!Q17," - ")</f>
        <v>719</v>
      </c>
      <c r="D17" s="456">
        <f>IF(ISNUMBER(Datos!R17),Datos!R17," - ")</f>
        <v>540</v>
      </c>
    </row>
    <row r="18" spans="1:4">
      <c r="A18" s="450" t="str">
        <f>Datos!A18</f>
        <v>Jdos. Violencia contra la mujer</v>
      </c>
      <c r="B18" s="488">
        <f>IF(ISNUMBER(Datos!P18),Datos!P18," - ")</f>
        <v>8</v>
      </c>
      <c r="C18" s="489">
        <f>IF(ISNUMBER(Datos!Q18),Datos!Q18," - ")</f>
        <v>5</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729</v>
      </c>
      <c r="C23" s="1150">
        <f>SUBTOTAL(9,C16:C22)</f>
        <v>724</v>
      </c>
      <c r="D23" s="1148">
        <f>SUBTOTAL(9,D16:D22)</f>
        <v>544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2397</v>
      </c>
      <c r="C31" s="1089">
        <f>SUBTOTAL(9,C8:C30)</f>
        <v>2477</v>
      </c>
      <c r="D31" s="1090">
        <f>SUBTOTAL(9,D8:D30)</f>
        <v>7507</v>
      </c>
    </row>
    <row r="32" spans="1:4" ht="7.5" customHeight="1"/>
    <row r="33" spans="1:1" ht="6" customHeight="1"/>
    <row r="34" spans="1:1">
      <c r="A34" s="439" t="str">
        <f>Criterios!A4</f>
        <v>Fecha Informe: 15 abr. 2023</v>
      </c>
    </row>
    <row r="39" spans="1:1">
      <c r="A39" s="462"/>
    </row>
  </sheetData>
  <sheetProtection algorithmName="SHA-512" hashValue="FZ6mFNnSLNpTDbEyd5WZ1NzL7UCKkDXIsEGRpkVho6eiLTiGhToYkmQzSh6MDogM7Aj6TdrG4Uoz/pZJdHUGow==" saltValue="hOGqR9+c7xtNyv86/V4G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LEGANES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0.40909090909090912</v>
      </c>
      <c r="C10" s="515">
        <f>IF(ISNUMBER((Datos!J10-Datos!T10)/Datos!T10),(Datos!J10-Datos!T10)/Datos!T10," - ")</f>
        <v>-0.2</v>
      </c>
      <c r="D10" s="515">
        <f>IF(ISNUMBER((Datos!K10-Datos!U10)/Datos!U10),(Datos!K10-Datos!U10)/Datos!U10," - ")</f>
        <v>4.5454545454545456E-2</v>
      </c>
      <c r="E10" s="515">
        <f>IF(ISNUMBER((Datos!L10-Datos!V10)/Datos!V10),(Datos!L10-Datos!V10)/Datos!V10," - ")</f>
        <v>-0.29032258064516131</v>
      </c>
      <c r="F10" s="515">
        <f>IF(ISNUMBER((Datos!M10-Datos!W10)/Datos!W10),(Datos!M10-Datos!W10)/Datos!W10," - ")</f>
        <v>-0.12903225806451613</v>
      </c>
      <c r="G10" s="516">
        <f>IF(ISNUMBER((Datos!N10-Datos!X10)/Datos!X10),(Datos!N10-Datos!X10)/Datos!X10," - ")</f>
        <v>-0.12121212121212122</v>
      </c>
      <c r="H10" s="514">
        <f>IF(ISNUMBER(((NºAsuntos!G10/NºAsuntos!E10)-Datos!BD10)/Datos!BD10),((NºAsuntos!G10/NºAsuntos!E10)-Datos!BD10)/Datos!BD10," - ")</f>
        <v>0.30681818181818171</v>
      </c>
      <c r="I10" s="515">
        <f>IF(ISNUMBER(((NºAsuntos!I10/NºAsuntos!G10)-Datos!BE10)/Datos!BE10),((NºAsuntos!I10/NºAsuntos!G10)-Datos!BE10)/Datos!BE10," - ")</f>
        <v>-0.32117812061711087</v>
      </c>
      <c r="J10" s="521">
        <f>IF(ISNUMBER((('Resol  Asuntos'!D10/NºAsuntos!G10)-Datos!BF10)/Datos!BF10),(('Resol  Asuntos'!D10/NºAsuntos!G10)-Datos!BF10)/Datos!BF10," - ")</f>
        <v>-0.16690042075736328</v>
      </c>
      <c r="K10" s="522">
        <f>IF(ISNUMBER((((NºAsuntos!C10+NºAsuntos!E10)/NºAsuntos!G10)-Datos!BG10)/Datos!BG10),(((NºAsuntos!C10+NºAsuntos!E10)/NºAsuntos!G10)-Datos!BG10)/Datos!BG10," - ")</f>
        <v>-0.10264455401165393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-4.6654389195825659E-2</v>
      </c>
      <c r="C12" s="515">
        <f>IF(ISNUMBER(
   IF(J_V="SI",(Datos!J12-Datos!T12)/Datos!T12,(Datos!J12+Datos!Z12-(Datos!T12+Datos!AH12))/(Datos!T12+Datos!AH12))
     ),IF(J_V="SI",(Datos!J12-Datos!T12)/Datos!T12,(Datos!J12+Datos!Z12-(Datos!T12+Datos!AH12))/(Datos!T12+Datos!AH12))," - ")</f>
        <v>0.13616603561912774</v>
      </c>
      <c r="D12" s="515">
        <f>IF(ISNUMBER(
   IF(J_V="SI",(Datos!K12-Datos!U12)/Datos!U12,(Datos!K12+Datos!AA12-(Datos!U12+Datos!AI12))/(Datos!U12+Datos!AI12))
     ),IF(J_V="SI",(Datos!K12-Datos!U12)/Datos!U12,(Datos!K12+Datos!AA12-(Datos!U12+Datos!AI12))/(Datos!U12+Datos!AI12))," - ")</f>
        <v>0.12082119572756277</v>
      </c>
      <c r="E12" s="515">
        <f>IF(ISNUMBER(
   IF(J_V="SI",(Datos!L12-Datos!V12)/Datos!V12,(Datos!L12+Datos!AB12-(Datos!V12+Datos!AJ12))/(Datos!V12+Datos!AJ12))
     ),IF(J_V="SI",(Datos!L12-Datos!V12)/Datos!V12,(Datos!L12+Datos!AB12-(Datos!V12+Datos!AJ12))/(Datos!V12+Datos!AJ12))," - ")</f>
        <v>3.0907920154539602E-2</v>
      </c>
      <c r="F12" s="515">
        <f>IF(ISNUMBER((Datos!M12-Datos!W12)/Datos!W12),(Datos!M12-Datos!W12)/Datos!W12," - ")</f>
        <v>-6.830238726790451E-2</v>
      </c>
      <c r="G12" s="516">
        <f>IF(ISNUMBER((Datos!N12-Datos!X12)/Datos!X12),(Datos!N12-Datos!X12)/Datos!X12," - ")</f>
        <v>0.18433322971712776</v>
      </c>
      <c r="H12" s="514">
        <f>IF(ISNUMBER(((NºAsuntos!G12/NºAsuntos!E12)-Datos!BD12)/Datos!BD12),((NºAsuntos!G12/NºAsuntos!E12)-Datos!BD12)/Datos!BD12," - ")</f>
        <v>-1.350580761129971E-2</v>
      </c>
      <c r="I12" s="515">
        <f>IF(ISNUMBER(((NºAsuntos!I12/NºAsuntos!G12)-Datos!BE12)/Datos!BE12),((NºAsuntos!I12/NºAsuntos!G12)-Datos!BE12)/Datos!BE12," - ")</f>
        <v>-8.0220891535386529E-2</v>
      </c>
      <c r="J12" s="521">
        <f>IF(ISNUMBER((('Resol  Asuntos'!D12/NºAsuntos!G12)-Datos!BF12)/Datos!BF12),(('Resol  Asuntos'!D12/NºAsuntos!G12)-Datos!BF12)/Datos!BF12," - ")</f>
        <v>-0.61033721688923637</v>
      </c>
      <c r="K12" s="522">
        <f>IF(ISNUMBER((((NºAsuntos!C12+NºAsuntos!E12)/NºAsuntos!G12)-Datos!BG12)/Datos!BG12),(((NºAsuntos!C12+NºAsuntos!E12)/NºAsuntos!G12)-Datos!BG12)/Datos!BG12," - ")</f>
        <v>-3.7461652604763793E-2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-4.3597560975609753E-2</v>
      </c>
      <c r="C14" s="1152">
        <f>IF(ISNUMBER(
   IF(J_V="SI",(Datos!J14-Datos!T14)/Datos!T14,(Datos!J14+Datos!Z14-(Datos!T14+Datos!AH14))/(Datos!T14+Datos!AH14))
     ),IF(J_V="SI",(Datos!J14-Datos!T14)/Datos!T14,(Datos!J14+Datos!Z14-(Datos!T14+Datos!AH14))/(Datos!T14+Datos!AH14))," - ")</f>
        <v>0.13266722175964474</v>
      </c>
      <c r="D14" s="1152">
        <f>IF(ISNUMBER(
   IF(J_V="SI",(Datos!K14-Datos!U14)/Datos!U14,(Datos!K14+Datos!AA14-(Datos!U14+Datos!AI14))/(Datos!U14+Datos!AI14))
     ),IF(J_V="SI",(Datos!K14-Datos!U14)/Datos!U14,(Datos!K14+Datos!AA14-(Datos!U14+Datos!AI14))/(Datos!U14+Datos!AI14))," - ")</f>
        <v>0.12013745704467355</v>
      </c>
      <c r="E14" s="1152">
        <f>IF(ISNUMBER(
   IF(J_V="SI",(Datos!L14-Datos!V14)/Datos!V14,(Datos!L14+Datos!AB14-(Datos!V14+Datos!AJ14))/(Datos!V14+Datos!AJ14))
     ),IF(J_V="SI",(Datos!L14-Datos!V14)/Datos!V14,(Datos!L14+Datos!AB14-(Datos!V14+Datos!AJ14))/(Datos!V14+Datos!AJ14))," - ")</f>
        <v>2.7733503347146957E-2</v>
      </c>
      <c r="F14" s="1153">
        <f>IF(ISNUMBER((Datos!M14-Datos!W14)/Datos!W14),(Datos!M14-Datos!W14)/Datos!W14," - ")</f>
        <v>-6.9525666016894083E-2</v>
      </c>
      <c r="G14" s="1154">
        <f>IF(ISNUMBER((Datos!N14-Datos!X14)/Datos!X14),(Datos!N14-Datos!X14)/Datos!X14," - ")</f>
        <v>0.18123076923076922</v>
      </c>
      <c r="H14" s="1154">
        <f>IF(ISNUMBER(((NºAsuntos!G14/NºAsuntos!E14)-Datos!BD14)/Datos!BD14),((NºAsuntos!G14/NºAsuntos!E14)-Datos!BD14)/Datos!BD14," - ")</f>
        <v>-1.1062176493026522E-2</v>
      </c>
      <c r="I14" s="1154">
        <f>IF(ISNUMBER(((NºAsuntos!I14/NºAsuntos!G14)-Datos!BE14)/Datos!BE14),((NºAsuntos!I14/NºAsuntos!G14)-Datos!BE14)/Datos!BE14," - ")</f>
        <v>-8.2493405712296644E-2</v>
      </c>
      <c r="J14" s="1154">
        <f>IF(ISNUMBER((('Resol  Asuntos'!D14/NºAsuntos!G14)-Datos!BF14)/Datos!BF14),(('Resol  Asuntos'!D14/NºAsuntos!G14)-Datos!BF14)/Datos!BF14," - ")</f>
        <v>-0.60639946755230634</v>
      </c>
      <c r="K14" s="1154">
        <f>IF(ISNUMBER((((NºAsuntos!C14+NºAsuntos!E14)/NºAsuntos!G14)-Datos!BG14)/Datos!BG14),(((NºAsuntos!C14+NºAsuntos!E14)/NºAsuntos!G14)-Datos!BG14)/Datos!BG14," - ")</f>
        <v>-3.8035965513285863E-2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0.12179104477611941</v>
      </c>
      <c r="C17" s="515">
        <f>IF(ISNUMBER(
   IF(D_I="SI",(Datos!J17-Datos!T17)/Datos!T17,(Datos!J17+Datos!AD17-(Datos!T17+Datos!AL17))/(Datos!T17+Datos!AL17))
     ),IF(D_I="SI",(Datos!J17-Datos!T17)/Datos!T17,(Datos!J17+Datos!AD17-(Datos!T17+Datos!AL17))/(Datos!T17+Datos!AL17))," - ")</f>
        <v>8.3660734920268084E-2</v>
      </c>
      <c r="D17" s="515">
        <f>IF(ISNUMBER(
   IF(D_I="SI",(Datos!K17-Datos!U17)/Datos!U17,(Datos!K17+Datos!AE17-(Datos!U17+Datos!AM17))/(Datos!U17+Datos!AM17))
     ),IF(D_I="SI",(Datos!K17-Datos!U17)/Datos!U17,(Datos!K17+Datos!AE17-(Datos!U17+Datos!AM17))/(Datos!U17+Datos!AM17))," - ")</f>
        <v>3.8396955110265307E-2</v>
      </c>
      <c r="E17" s="515">
        <f>IF(ISNUMBER(
   IF(D_I="SI",(Datos!L17-Datos!V17)/Datos!V17,(Datos!L17+Datos!AF17-(Datos!V17+Datos!AN17))/(Datos!V17+Datos!AN17))
     ),IF(D_I="SI",(Datos!L17-Datos!V17)/Datos!V17,(Datos!L17+Datos!AF17-(Datos!V17+Datos!AN17))/(Datos!V17+Datos!AN17))," - ")</f>
        <v>0.15486961149547632</v>
      </c>
      <c r="F17" s="515">
        <f>IF(ISNUMBER((Datos!M17-Datos!W17)/Datos!W17),(Datos!M17-Datos!W17)/Datos!W17," - ")</f>
        <v>-6.3404548587181253E-2</v>
      </c>
      <c r="G17" s="516">
        <f>IF(ISNUMBER((Datos!N17-Datos!X17)/Datos!X17),(Datos!N17-Datos!X17)/Datos!X17," - ")</f>
        <v>7.9849340866290017E-2</v>
      </c>
      <c r="H17" s="514">
        <f>IF(ISNUMBER(((NºAsuntos!G17/NºAsuntos!E17)-Datos!BD17)/Datos!BD17),((NºAsuntos!G17/NºAsuntos!E17)-Datos!BD17)/Datos!BD17," - ")</f>
        <v>-4.1769327199377732E-2</v>
      </c>
      <c r="I17" s="515">
        <f>IF(ISNUMBER(((NºAsuntos!I17/NºAsuntos!G17)-Datos!BE17)/Datos!BE17),((NºAsuntos!I17/NºAsuntos!G17)-Datos!BE17)/Datos!BE17," - ")</f>
        <v>0.11216583004410194</v>
      </c>
      <c r="J17" s="521">
        <f>IF(ISNUMBER((('Resol  Asuntos'!D17/NºAsuntos!G17)-Datos!BF17)/Datos!BF17),(('Resol  Asuntos'!D17/NºAsuntos!G17)-Datos!BF17)/Datos!BF17," - ")</f>
        <v>-9.8037174701303312E-2</v>
      </c>
      <c r="K17" s="522">
        <f>IF(ISNUMBER((((NºAsuntos!C17+NºAsuntos!E17)/NºAsuntos!G17)-Datos!BG17)/Datos!BG17),(((NºAsuntos!C17+NºAsuntos!E17)/NºAsuntos!G17)-Datos!BG17)/Datos!BG17," - ")</f>
        <v>4.954480347745055E-2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-0.17894736842105263</v>
      </c>
      <c r="C18" s="515">
        <f>IF(ISNUMBER(
   IF(D_I="SI",(Datos!J18-Datos!T18)/Datos!T18,(Datos!J18+Datos!AD18-(Datos!T18+Datos!AL18))/(Datos!T18+Datos!AL18))
     ),IF(D_I="SI",(Datos!J18-Datos!T18)/Datos!T18,(Datos!J18+Datos!AD18-(Datos!T18+Datos!AL18))/(Datos!T18+Datos!AL18))," - ")</f>
        <v>6.0941828254847646E-2</v>
      </c>
      <c r="D18" s="515">
        <f>IF(ISNUMBER(
   IF(D_I="SI",(Datos!K18-Datos!U18)/Datos!U18,(Datos!K18+Datos!AE18-(Datos!U18+Datos!AM18))/(Datos!U18+Datos!AM18))
     ),IF(D_I="SI",(Datos!K18-Datos!U18)/Datos!U18,(Datos!K18+Datos!AE18-(Datos!U18+Datos!AM18))/(Datos!U18+Datos!AM18))," - ")</f>
        <v>3.7685060565275909E-2</v>
      </c>
      <c r="E18" s="515">
        <f>IF(ISNUMBER(
   IF(D_I="SI",(Datos!L18-Datos!V18)/Datos!V18,(Datos!L18+Datos!AF18-(Datos!V18+Datos!AN18))/(Datos!V18+Datos!AN18))
     ),IF(D_I="SI",(Datos!L18-Datos!V18)/Datos!V18,(Datos!L18+Datos!AF18-(Datos!V18+Datos!AN18))/(Datos!V18+Datos!AN18))," - ")</f>
        <v>0</v>
      </c>
      <c r="F18" s="515">
        <f>IF(ISNUMBER((Datos!M18-Datos!W18)/Datos!W18),(Datos!M18-Datos!W18)/Datos!W18," - ")</f>
        <v>1.0909090909090908</v>
      </c>
      <c r="G18" s="516">
        <f>IF(ISNUMBER((Datos!N18-Datos!X18)/Datos!X18),(Datos!N18-Datos!X18)/Datos!X18," - ")</f>
        <v>-3.3771106941838651E-2</v>
      </c>
      <c r="H18" s="514">
        <f>IF(ISNUMBER(((NºAsuntos!G18/NºAsuntos!E18)-Datos!BD18)/Datos!BD18),((NºAsuntos!G18/NºAsuntos!E18)-Datos!BD18)/Datos!BD18," - ")</f>
        <v>-2.1920869806619801E-2</v>
      </c>
      <c r="I18" s="515">
        <f>IF(ISNUMBER(((NºAsuntos!I18/NºAsuntos!G18)-Datos!BE18)/Datos!BE18),((NºAsuntos!I18/NºAsuntos!G18)-Datos!BE18)/Datos!BE18," - ")</f>
        <v>-3.6316472114137445E-2</v>
      </c>
      <c r="J18" s="521">
        <f>IF(ISNUMBER((('Resol  Asuntos'!D18/NºAsuntos!G18)-Datos!BF18)/Datos!BF18),(('Resol  Asuntos'!D18/NºAsuntos!G18)-Datos!BF18)/Datos!BF18," - ")</f>
        <v>1.0149746492158944</v>
      </c>
      <c r="K18" s="522">
        <f>IF(ISNUMBER((((NºAsuntos!C18+NºAsuntos!E18)/NºAsuntos!G18)-Datos!BG18)/Datos!BG18),(((NºAsuntos!C18+NºAsuntos!E18)/NºAsuntos!G18)-Datos!BG18)/Datos!BG18," - ")</f>
        <v>-4.4689136650328974E-3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0.10564971751412429</v>
      </c>
      <c r="C23" s="1152">
        <f>IF(ISNUMBER(
   IF(Criterios!B14="SI",(Datos!J23-Datos!T23)/Datos!T23,(Datos!J23+Datos!AD23-(Datos!T23+Datos!AL23))/(Datos!T23+Datos!AL23))
     ),IF(Criterios!B14="SI",(Datos!J23-Datos!T23)/Datos!T23,(Datos!J23+Datos!AD23-(Datos!T23+Datos!AL23))/(Datos!T23+Datos!AL23))," - ")</f>
        <v>8.191126279863481E-2</v>
      </c>
      <c r="D23" s="1152">
        <f>IF(ISNUMBER(
   IF(Criterios!B14="SI",(Datos!K23-Datos!U23)/Datos!U23,(Datos!K23+Datos!AE23-(Datos!U23+Datos!AM23))/(Datos!U23+Datos!AM23))
     ),IF(Criterios!B14="SI",(Datos!K23-Datos!U23)/Datos!U23,(Datos!K23+Datos!AE23-(Datos!U23+Datos!AM23))/(Datos!U23+Datos!AM23))," - ")</f>
        <v>3.8342290202563044E-2</v>
      </c>
      <c r="E23" s="1152">
        <f>IF(ISNUMBER(
   IF(Criterios!B14="SI",(Datos!L23-Datos!V23)/Datos!V23,(Datos!L23+Datos!AF23-(Datos!V23+Datos!AN23))/(Datos!V23+Datos!AN23))
     ),IF(Criterios!B14="SI",(Datos!L23-Datos!V23)/Datos!V23,(Datos!L23+Datos!AF23-(Datos!V23+Datos!AN23))/(Datos!V23+Datos!AN23))," - ")</f>
        <v>0.14869698518140009</v>
      </c>
      <c r="F23" s="1153">
        <f>IF(ISNUMBER((Datos!M23-Datos!W23)/Datos!W23),(Datos!M23-Datos!W23)/Datos!W23," - ")</f>
        <v>-4.6164290563475902E-2</v>
      </c>
      <c r="G23" s="1154">
        <f>IF(ISNUMBER((Datos!N23-Datos!X23)/Datos!X23),(Datos!N23-Datos!X23)/Datos!X23," - ")</f>
        <v>6.9484853671059388E-2</v>
      </c>
      <c r="H23" s="1154">
        <f>IF(ISNUMBER(((NºAsuntos!G23/NºAsuntos!E23)-Datos!BD23)/Datos!BD23),((NºAsuntos!G23/NºAsuntos!E23)-Datos!BD23)/Datos!BD23," - ")</f>
        <v>-4.0270375301731873E-2</v>
      </c>
      <c r="I23" s="1154">
        <f>IF(ISNUMBER(((NºAsuntos!I23/NºAsuntos!G23)-Datos!BE23)/Datos!BE23),((NºAsuntos!I23/NºAsuntos!G23)-Datos!BE23)/Datos!BE23," - ")</f>
        <v>0.10627968832638873</v>
      </c>
      <c r="J23" s="1154">
        <f>IF(ISNUMBER((('Resol  Asuntos'!D23/NºAsuntos!G23)-Datos!BF23)/Datos!BF23),(('Resol  Asuntos'!D23/NºAsuntos!G23)-Datos!BF23)/Datos!BF23," - ")</f>
        <v>-8.1386053099650982E-2</v>
      </c>
      <c r="K23" s="1154">
        <f>IF(ISNUMBER((((NºAsuntos!C23+NºAsuntos!E23)/NºAsuntos!G23)-Datos!BG23)/Datos!BG23),(((NºAsuntos!C23+NºAsuntos!E23)/NºAsuntos!G23)-Datos!BG23)/Datos!BG23," - ")</f>
        <v>4.559062269168751E-2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8.7128712871287137E-3</v>
      </c>
      <c r="C31" s="1092">
        <f>IF(ISNUMBER(
   IF(J_V="SI",(Datos!J31-Datos!T31)/Datos!T31,(Datos!J31+Datos!Z31-(Datos!T31+Datos!AH31))/(Datos!T31+Datos!AH31))
     ),IF(J_V="SI",(Datos!J31-Datos!T31)/Datos!T31,(Datos!J31+Datos!Z31-(Datos!T31+Datos!AH31))/(Datos!T31+Datos!AH31))," - ")</f>
        <v>0.10396815824387891</v>
      </c>
      <c r="D31" s="1092">
        <f>IF(ISNUMBER(
   IF(J_V="SI",(Datos!K31-Datos!U31)/Datos!U31,(Datos!K31+Datos!AA31-(Datos!U31+Datos!AI31))/(Datos!U31+Datos!AI31))
     ),IF(J_V="SI",(Datos!K31-Datos!U31)/Datos!U31,(Datos!K31+Datos!AA31-(Datos!U31+Datos!AI31))/(Datos!U31+Datos!AI31))," - ")</f>
        <v>7.3446994277623745E-2</v>
      </c>
      <c r="E31" s="1092">
        <f>IF(ISNUMBER(
   IF(J_V="SI",(Datos!L31-Datos!V31)/Datos!V31,(Datos!L31+Datos!AB31-(Datos!V31+Datos!AJ31))/(Datos!V31+Datos!AJ31))
     ),IF(J_V="SI",(Datos!L31-Datos!V31)/Datos!V31,(Datos!L31+Datos!AB31-(Datos!V31+Datos!AJ31))/(Datos!V31+Datos!AJ31))," - ")</f>
        <v>7.4204946996466431E-2</v>
      </c>
      <c r="F31" s="1093">
        <f>IF(ISNUMBER((Datos!M31-Datos!W31)/Datos!W31),(Datos!M31-Datos!W31)/Datos!W31," - ")</f>
        <v>-5.8100929614873835E-2</v>
      </c>
      <c r="G31" s="1094">
        <f>IF(ISNUMBER((Datos!N31-Datos!X31)/Datos!X31),(Datos!N31-Datos!X31)/Datos!X31," - ")</f>
        <v>0.10942483228857362</v>
      </c>
      <c r="H31" s="1095">
        <f>IF(ISNUMBER((Tasas!B31-Datos!BD31)/Datos!BD31),(Tasas!B31-Datos!BD31)/Datos!BD31," - ")</f>
        <v>-2.7646779246609986E-2</v>
      </c>
      <c r="I31" s="1096">
        <f>IF(ISNUMBER((Tasas!C31-Datos!BE31)/Datos!BE31),(Tasas!C31-Datos!BE31)/Datos!BE31," - ")</f>
        <v>7.0609235750188873E-4</v>
      </c>
      <c r="J31" s="1097">
        <f>IF(ISNUMBER((Tasas!D31-Datos!BF31)/Datos!BF31),(Tasas!D31-Datos!BF31)/Datos!BF31," - ")</f>
        <v>-0.44018474211170155</v>
      </c>
      <c r="K31" s="1097">
        <f>IF(ISNUMBER((Tasas!E31-Datos!BG31)/Datos!BG31),(Tasas!E31-Datos!BG31)/Datos!BG31," - ")</f>
        <v>7.7169855589563777E-3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rWjpyOdrMMSnQCRQ48ZcQMxcfuXJTlQjbrVkkYWS3Qxvu6VrsULRdrfdX5r7U6Z/XO/Is7R9JSA3tgFc8nZXA==" saltValue="JLPIjotG2R1sSbA6Ftu1I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LEGANES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1.1499999999999999</v>
      </c>
      <c r="C10" s="498">
        <f>IF(ISNUMBER(NºAsuntos!I10/NºAsuntos!G10),NºAsuntos!I10/NºAsuntos!G10," - ")</f>
        <v>0.3188405797101449</v>
      </c>
      <c r="D10" s="499">
        <f>IF(ISNUMBER('Resol  Asuntos'!D10/NºAsuntos!G10),'Resol  Asuntos'!D10/NºAsuntos!G10," - ")</f>
        <v>0.39130434782608697</v>
      </c>
      <c r="E10" s="500">
        <f>IF(ISNUMBER((NºAsuntos!C10+NºAsuntos!E10)/NºAsuntos!G10),(NºAsuntos!C10+NºAsuntos!E10)/NºAsuntos!G10," - ")</f>
        <v>1.318840579710145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0.99728462108121452</v>
      </c>
      <c r="C12" s="498">
        <f>IF(ISNUMBER(NºAsuntos!I12/NºAsuntos!G12),NºAsuntos!I12/NºAsuntos!G12," - ")</f>
        <v>0.39628712871287131</v>
      </c>
      <c r="D12" s="499">
        <f>IF(ISNUMBER('Resol  Asuntos'!D12/NºAsuntos!G12),'Resol  Asuntos'!D12/NºAsuntos!G12," - ")</f>
        <v>0.17388613861386137</v>
      </c>
      <c r="E12" s="500">
        <f>IF(ISNUMBER((NºAsuntos!C12+NºAsuntos!E12)/NºAsuntos!G12),(NºAsuntos!C12+NºAsuntos!E12)/NºAsuntos!G12," - ")</f>
        <v>1.387128712871287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0.99840725312423428</v>
      </c>
      <c r="C14" s="1156">
        <f>IF(ISNUMBER(NºAsuntos!I14/NºAsuntos!G14),NºAsuntos!I14/NºAsuntos!G14," - ")</f>
        <v>0.39563136581175606</v>
      </c>
      <c r="D14" s="1157">
        <f>IF(ISNUMBER('Resol  Asuntos'!D14/NºAsuntos!G14),'Resol  Asuntos'!D14/NºAsuntos!G14," - ")</f>
        <v>0.17572708307767823</v>
      </c>
      <c r="E14" s="1158">
        <f>IF(ISNUMBER((NºAsuntos!C14+NºAsuntos!E14)/NºAsuntos!G14),(NºAsuntos!C14+NºAsuntos!E14)/NºAsuntos!G14," - ")</f>
        <v>1.3865504969934961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0.98912348048624443</v>
      </c>
      <c r="C17" s="498">
        <f>IF(ISNUMBER(NºAsuntos!I17/NºAsuntos!G17),NºAsuntos!I17/NºAsuntos!G17," - ")</f>
        <v>0.2339370418283743</v>
      </c>
      <c r="D17" s="499">
        <f>IF(ISNUMBER('Resol  Asuntos'!D17/NºAsuntos!G17),'Resol  Asuntos'!D17/NºAsuntos!G17," - ")</f>
        <v>0.14650711513583442</v>
      </c>
      <c r="E17" s="500">
        <f>IF(ISNUMBER((NºAsuntos!C17+NºAsuntos!E17)/NºAsuntos!G17),(NºAsuntos!C17+NºAsuntos!E17)/NºAsuntos!G17," - ")</f>
        <v>1.2135618801207417</v>
      </c>
      <c r="G17" s="523"/>
    </row>
    <row r="18" spans="1:7">
      <c r="A18" s="450" t="str">
        <f>Datos!A18</f>
        <v>Jdos. Violencia contra la mujer</v>
      </c>
      <c r="B18" s="497">
        <f>IF(ISNUMBER(NºAsuntos!G18/NºAsuntos!E18),NºAsuntos!G18/NºAsuntos!E18," - ")</f>
        <v>1.0065274151436032</v>
      </c>
      <c r="C18" s="498">
        <f>IF(ISNUMBER(NºAsuntos!I18/NºAsuntos!G18),NºAsuntos!I18/NºAsuntos!G18," - ")</f>
        <v>0.10116731517509728</v>
      </c>
      <c r="D18" s="499">
        <f>IF(ISNUMBER('Resol  Asuntos'!D18/NºAsuntos!G18),'Resol  Asuntos'!D18/NºAsuntos!G18," - ")</f>
        <v>5.9662775616083012E-2</v>
      </c>
      <c r="E18" s="500">
        <f>IF(ISNUMBER((NºAsuntos!C18+NºAsuntos!E18)/NºAsuntos!G18),(NºAsuntos!C18+NºAsuntos!E18)/NºAsuntos!G18," - ")</f>
        <v>1.0946822308690014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0.99043769716088326</v>
      </c>
      <c r="C23" s="1156">
        <f>IF(ISNUMBER(NºAsuntos!I23/NºAsuntos!G23),NºAsuntos!I23/NºAsuntos!G23," - ")</f>
        <v>0.22374838260177168</v>
      </c>
      <c r="D23" s="1159">
        <f>IF(ISNUMBER('Resol  Asuntos'!D23/NºAsuntos!G23),'Resol  Asuntos'!D23/NºAsuntos!G23," - ")</f>
        <v>0.13984273912610728</v>
      </c>
      <c r="E23" s="1158">
        <f>IF(ISNUMBER((NºAsuntos!C23+NºAsuntos!E23)/NºAsuntos!G23),(NºAsuntos!C23+NºAsuntos!E23)/NºAsuntos!G23," - ")</f>
        <v>1.2044391360605156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0.99399104118868131</v>
      </c>
      <c r="C31" s="1099">
        <f>IF(ISNUMBER(NºAsuntos!I31/NºAsuntos!G31),NºAsuntos!I31/NºAsuntos!G31," - ")</f>
        <v>0.30072543416135417</v>
      </c>
      <c r="D31" s="1100">
        <f>IF(ISNUMBER('Resol  Asuntos'!D31/NºAsuntos!G31),'Resol  Asuntos'!D31/NºAsuntos!G31," - ")</f>
        <v>0.15591338755770498</v>
      </c>
      <c r="E31" s="1101">
        <f>IF(ISNUMBER((NºAsuntos!C31+NºAsuntos!E31)/NºAsuntos!G31),(NºAsuntos!C31+NºAsuntos!E31)/NºAsuntos!G31," - ")</f>
        <v>1.2859969224005277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s4VLElEMf6AhYjOJ5k6q2+pT3RCcVrYLPlLVN5M62Bguk4nd/62IyMxJh78uds9Zf46Ceuhg2/SBDLcWCY1Qw==" saltValue="S6HJLiLQA6ObRhEGuGNm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LEGANES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31</v>
      </c>
      <c r="G10" s="373">
        <f>IF(ISNUMBER(Datos!I10),Datos!I10," - ")</f>
        <v>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69</v>
      </c>
      <c r="X10" s="240">
        <f>IF(ISNUMBER(Datos!Q10),Datos!Q10," - ")</f>
        <v>22</v>
      </c>
      <c r="Y10" s="374">
        <f t="shared" ref="Y10:Y13" si="0">SUM(W10:X10)</f>
        <v>91</v>
      </c>
      <c r="Z10" s="375" t="str">
        <f>IF(ISNUMBER(Datos!CC10),Datos!CC10," - ")</f>
        <v xml:space="preserve"> - </v>
      </c>
      <c r="AA10" s="372">
        <f>IF(ISNUMBER(Datos!L10),Datos!L10,"-")</f>
        <v>22</v>
      </c>
      <c r="AB10" s="374">
        <f>IF(ISNUMBER(Datos!R10),Datos!R10," - ")</f>
        <v>65</v>
      </c>
      <c r="AC10" s="374">
        <f t="shared" ref="AC10:AC13" si="1">IF(ISNUMBER(AA10+AB10),AA10+AB10," - ")</f>
        <v>87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27</v>
      </c>
      <c r="AJ10" s="245" t="str">
        <f>IF(ISNUMBER(Datos!BW10),Datos!BW10," - ")</f>
        <v xml:space="preserve"> - </v>
      </c>
      <c r="AK10" s="246" t="str">
        <f>IF(ISNUMBER(Datos!BX10),Datos!BX10," - ")</f>
        <v xml:space="preserve"> - </v>
      </c>
      <c r="AL10" s="266">
        <f>IF(ISNUMBER(NºAsuntos!G10/NºAsuntos!E10),NºAsuntos!G10/NºAsuntos!E10," - ")</f>
        <v>1.1499999999999999</v>
      </c>
      <c r="AM10" s="284">
        <f>IF(ISNUMBER(((NºAsuntos!I10/NºAsuntos!G10)*11)/factor_trimestre),((NºAsuntos!I10/NºAsuntos!G10)*11)/factor_trimestre," - ")</f>
        <v>3.5072463768115938</v>
      </c>
      <c r="AN10" s="267">
        <f>IF(ISNUMBER('Resol  Asuntos'!D10/NºAsuntos!G10),'Resol  Asuntos'!D10/NºAsuntos!G10," - ")</f>
        <v>0.39130434782608697</v>
      </c>
      <c r="AO10" s="268">
        <f>IF(ISNUMBER((NºAsuntos!C10+NºAsuntos!E10)/NºAsuntos!G10),(NºAsuntos!C10+NºAsuntos!E10)/NºAsuntos!G10," - ")</f>
        <v>1.318840579710145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1731</v>
      </c>
      <c r="Y12" s="374">
        <f t="shared" si="0"/>
        <v>1731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1405</v>
      </c>
      <c r="AJ12" s="243" t="str">
        <f>IF(ISNUMBER(Datos!BW12),Datos!BW12," - ")</f>
        <v xml:space="preserve"> - </v>
      </c>
      <c r="AK12" s="242" t="str">
        <f>IF(ISNUMBER(Datos!BX12),Datos!BX12," - ")</f>
        <v xml:space="preserve"> - </v>
      </c>
      <c r="AL12" s="266">
        <f>IF(ISNUMBER(NºAsuntos!G12/NºAsuntos!E12),NºAsuntos!G12/NºAsuntos!E12," - ")</f>
        <v>0.99728462108121452</v>
      </c>
      <c r="AM12" s="284">
        <f>IF(ISNUMBER(((NºAsuntos!I12/NºAsuntos!G12)*11)/factor_trimestre),((NºAsuntos!I12/NºAsuntos!G12)*11)/factor_trimestre," - ")</f>
        <v>4.3591584158415841</v>
      </c>
      <c r="AN12" s="267">
        <f>IF(ISNUMBER('Resol  Asuntos'!D12/NºAsuntos!G12),'Resol  Asuntos'!D12/NºAsuntos!G12," - ")</f>
        <v>0.17388613861386137</v>
      </c>
      <c r="AO12" s="268">
        <f>IF(ISNUMBER((NºAsuntos!C12+NºAsuntos!E12)/NºAsuntos!G12),(NºAsuntos!C12+NºAsuntos!E12)/NºAsuntos!G12," - ")</f>
        <v>1.387128712871287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31</v>
      </c>
      <c r="G14" s="1163">
        <f t="shared" si="5"/>
        <v>31</v>
      </c>
      <c r="H14" s="1162">
        <f t="shared" si="5"/>
        <v>0</v>
      </c>
      <c r="I14" s="1164">
        <f t="shared" si="5"/>
        <v>0</v>
      </c>
      <c r="J14" s="1164">
        <f t="shared" si="5"/>
        <v>0</v>
      </c>
      <c r="K14" s="1164">
        <f t="shared" si="5"/>
        <v>0</v>
      </c>
      <c r="L14" s="1164">
        <f t="shared" si="5"/>
        <v>1668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69</v>
      </c>
      <c r="X14" s="1164">
        <f t="shared" si="6"/>
        <v>1753</v>
      </c>
      <c r="Y14" s="1165">
        <f t="shared" si="6"/>
        <v>1822</v>
      </c>
      <c r="Z14" s="1165">
        <f t="shared" si="6"/>
        <v>0</v>
      </c>
      <c r="AA14" s="1165">
        <f t="shared" si="6"/>
        <v>22</v>
      </c>
      <c r="AB14" s="1165">
        <f t="shared" si="6"/>
        <v>6963</v>
      </c>
      <c r="AC14" s="1165">
        <f t="shared" si="6"/>
        <v>87</v>
      </c>
      <c r="AD14" s="1165">
        <f t="shared" si="6"/>
        <v>0</v>
      </c>
      <c r="AE14" s="1169">
        <f t="shared" si="6"/>
        <v>0</v>
      </c>
      <c r="AF14" s="1162">
        <f t="shared" si="6"/>
        <v>0</v>
      </c>
      <c r="AG14" s="1170">
        <f t="shared" si="6"/>
        <v>0</v>
      </c>
      <c r="AH14" s="1167">
        <f t="shared" si="6"/>
        <v>0</v>
      </c>
      <c r="AI14" s="1162">
        <f t="shared" si="6"/>
        <v>1432</v>
      </c>
      <c r="AJ14" s="1164">
        <f t="shared" si="6"/>
        <v>0</v>
      </c>
      <c r="AK14" s="1167">
        <f>SUBTOTAL(9,AK9:AK13)</f>
        <v>0</v>
      </c>
      <c r="AL14" s="1171">
        <f>IF(ISNUMBER(NºAsuntos!G14/NºAsuntos!E14),NºAsuntos!G14/NºAsuntos!E14," - ")</f>
        <v>0.99840725312423428</v>
      </c>
      <c r="AM14" s="1171">
        <f>IF(ISNUMBER(((NºAsuntos!I14/NºAsuntos!G14)*11)/factor_trimestre),((NºAsuntos!I14/NºAsuntos!G14)*11)/factor_trimestre," - ")</f>
        <v>4.3519450239293169</v>
      </c>
      <c r="AN14" s="1172">
        <f>IF(ISNUMBER('Resol  Asuntos'!D14/NºAsuntos!G14),'Resol  Asuntos'!D14/NºAsuntos!G14," - ")</f>
        <v>0.17572708307767823</v>
      </c>
      <c r="AO14" s="1173">
        <f>IF(ISNUMBER((NºAsuntos!C14+NºAsuntos!E14)/NºAsuntos!G14),(NºAsuntos!C14+NºAsuntos!E14)/NºAsuntos!G14," - ")</f>
        <v>1.3865504969934961</v>
      </c>
      <c r="AP14" s="1174" t="str">
        <f t="shared" si="2"/>
        <v xml:space="preserve"> - </v>
      </c>
      <c r="AQ14" s="1174">
        <f>IF(ISNUMBER((H14-W14+K14)/(F14)),(H14-W14+K14)/(F14)," - ")</f>
        <v>-2.225806451612903</v>
      </c>
      <c r="AR14" s="1175">
        <f>IF(ISNUMBER((Datos!P14-Datos!Q14)/(Datos!R14-Datos!P14+Datos!Q14)),(Datos!P14-Datos!Q14)/(Datos!R14-Datos!P14+Datos!Q14)," - ")</f>
        <v>-1.2060158910329171E-2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2068</v>
      </c>
      <c r="G17" s="373">
        <f>IF(ISNUMBER(IF(D_I="SI",Datos!I17,Datos!I17+Datos!AC17)),IF(D_I="SI",Datos!I17,Datos!I17+Datos!AC17)," - ")</f>
        <v>1879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9276</v>
      </c>
      <c r="X17" s="240">
        <f>IF(ISNUMBER(Datos!Q17),Datos!Q17," - ")</f>
        <v>719</v>
      </c>
      <c r="Y17" s="374">
        <f t="shared" ref="Y17:Y22" si="9">SUM(W17:X17)</f>
        <v>9995</v>
      </c>
      <c r="Z17" s="375" t="str">
        <f>IF(ISNUMBER(Datos!CC17),Datos!CC17," - ")</f>
        <v xml:space="preserve"> - </v>
      </c>
      <c r="AA17" s="372">
        <f>IF(ISNUMBER(IF(D_I="SI",Datos!L17,Datos!L17+Datos!AF17)),IF(D_I="SI",Datos!L17,Datos!L17+Datos!AF17)," - ")</f>
        <v>2170</v>
      </c>
      <c r="AB17" s="374">
        <f>IF(ISNUMBER(Datos!R17),Datos!R17," - ")</f>
        <v>540</v>
      </c>
      <c r="AC17" s="374">
        <f t="shared" si="8"/>
        <v>2710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1359</v>
      </c>
      <c r="AJ17" s="245" t="str">
        <f>IF(ISNUMBER(Datos!BW17),Datos!BW17," - ")</f>
        <v xml:space="preserve"> - </v>
      </c>
      <c r="AK17" s="246" t="str">
        <f>IF(ISNUMBER(Datos!BX17),Datos!BX17," - ")</f>
        <v xml:space="preserve"> - </v>
      </c>
      <c r="AL17" s="266">
        <f>IF(ISNUMBER(NºAsuntos!G17/NºAsuntos!E17),NºAsuntos!G17/NºAsuntos!E17," - ")</f>
        <v>0.98912348048624443</v>
      </c>
      <c r="AM17" s="284">
        <f>IF(ISNUMBER(((NºAsuntos!I17/NºAsuntos!G17)*11)/factor_trimestre),((NºAsuntos!I17/NºAsuntos!G17)*11)/factor_trimestre," - ")</f>
        <v>2.5733074601121171</v>
      </c>
      <c r="AN17" s="267">
        <f>IF(ISNUMBER('Resol  Asuntos'!D17/NºAsuntos!G17),'Resol  Asuntos'!D17/NºAsuntos!G17," - ")</f>
        <v>0.14650711513583442</v>
      </c>
      <c r="AO17" s="268">
        <f>IF(ISNUMBER((NºAsuntos!C17+NºAsuntos!E17)/NºAsuntos!G17),(NºAsuntos!C17+NºAsuntos!E17)/NºAsuntos!G17," - ")</f>
        <v>1.2135618801207417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78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771</v>
      </c>
      <c r="X18" s="240">
        <f>IF(ISNUMBER(Datos!Q18),Datos!Q18," - ")</f>
        <v>5</v>
      </c>
      <c r="Y18" s="374">
        <f t="shared" si="9"/>
        <v>776</v>
      </c>
      <c r="Z18" s="375" t="str">
        <f>IF(ISNUMBER(Datos!CC18),Datos!CC18," - ")</f>
        <v xml:space="preserve"> - </v>
      </c>
      <c r="AA18" s="372">
        <f>IF(ISNUMBER(Datos!L18),Datos!L18,"-")</f>
        <v>78</v>
      </c>
      <c r="AB18" s="374">
        <f>IF(ISNUMBER(Datos!R18),Datos!R18," - ")</f>
        <v>4</v>
      </c>
      <c r="AC18" s="374">
        <f t="shared" si="8"/>
        <v>82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46</v>
      </c>
      <c r="AJ18" s="245" t="str">
        <f>IF(ISNUMBER(Datos!BW18),Datos!BW18," - ")</f>
        <v xml:space="preserve"> - </v>
      </c>
      <c r="AK18" s="246" t="str">
        <f>IF(ISNUMBER(Datos!BX18),Datos!BX18," - ")</f>
        <v xml:space="preserve"> - </v>
      </c>
      <c r="AL18" s="266">
        <f>IF(ISNUMBER(NºAsuntos!G18/NºAsuntos!E18),NºAsuntos!G18/NºAsuntos!E18," - ")</f>
        <v>1.0065274151436032</v>
      </c>
      <c r="AM18" s="284">
        <f>IF(ISNUMBER(((NºAsuntos!I18/NºAsuntos!G18)*11)/factor_trimestre),((NºAsuntos!I18/NºAsuntos!G18)*11)/factor_trimestre," - ")</f>
        <v>1.1128404669260701</v>
      </c>
      <c r="AN18" s="267">
        <f>IF(ISNUMBER('Resol  Asuntos'!D18/NºAsuntos!G18),'Resol  Asuntos'!D18/NºAsuntos!G18," - ")</f>
        <v>5.9662775616083012E-2</v>
      </c>
      <c r="AO18" s="268">
        <f>IF(ISNUMBER((NºAsuntos!C18+NºAsuntos!E18)/NºAsuntos!G18),(NºAsuntos!C18+NºAsuntos!E18)/NºAsuntos!G18," - ")</f>
        <v>1.0946822308690014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2068</v>
      </c>
      <c r="G23" s="1163">
        <f>SUBTOTAL(9,G16:G22)</f>
        <v>1957</v>
      </c>
      <c r="H23" s="1162">
        <f t="shared" ref="H23:O23" si="13">SUBTOTAL(9,H15:H22)</f>
        <v>0</v>
      </c>
      <c r="I23" s="1164">
        <f t="shared" si="13"/>
        <v>0</v>
      </c>
      <c r="J23" s="1164">
        <f t="shared" si="13"/>
        <v>0</v>
      </c>
      <c r="K23" s="1164">
        <f t="shared" si="13"/>
        <v>0</v>
      </c>
      <c r="L23" s="1164">
        <f t="shared" si="13"/>
        <v>729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10047</v>
      </c>
      <c r="X23" s="1164">
        <f t="shared" si="14"/>
        <v>724</v>
      </c>
      <c r="Y23" s="1165">
        <f t="shared" si="14"/>
        <v>10771</v>
      </c>
      <c r="Z23" s="1165">
        <f t="shared" si="14"/>
        <v>0</v>
      </c>
      <c r="AA23" s="1165">
        <f t="shared" si="14"/>
        <v>2248</v>
      </c>
      <c r="AB23" s="1165">
        <f t="shared" si="14"/>
        <v>544</v>
      </c>
      <c r="AC23" s="1165">
        <f t="shared" si="14"/>
        <v>2792</v>
      </c>
      <c r="AD23" s="1165">
        <f t="shared" si="14"/>
        <v>0</v>
      </c>
      <c r="AE23" s="1169">
        <f t="shared" si="14"/>
        <v>0</v>
      </c>
      <c r="AF23" s="1162">
        <f t="shared" si="14"/>
        <v>0</v>
      </c>
      <c r="AG23" s="1170">
        <f t="shared" si="14"/>
        <v>0</v>
      </c>
      <c r="AH23" s="1167">
        <f t="shared" si="14"/>
        <v>0</v>
      </c>
      <c r="AI23" s="1162">
        <f t="shared" si="14"/>
        <v>1405</v>
      </c>
      <c r="AJ23" s="1164">
        <f t="shared" si="14"/>
        <v>0</v>
      </c>
      <c r="AK23" s="1167">
        <f t="shared" si="14"/>
        <v>0</v>
      </c>
      <c r="AL23" s="1171">
        <f>IF(ISNUMBER(NºAsuntos!G23/NºAsuntos!E23),NºAsuntos!G23/NºAsuntos!E23," - ")</f>
        <v>0.99043769716088326</v>
      </c>
      <c r="AM23" s="1171">
        <f>IF(ISNUMBER(((NºAsuntos!I23/NºAsuntos!G23)*11)/factor_trimestre),((NºAsuntos!I23/NºAsuntos!G23)*11)/factor_trimestre," - ")</f>
        <v>2.4612322086194887</v>
      </c>
      <c r="AN23" s="1172">
        <f>IF(ISNUMBER('Resol  Asuntos'!D23/NºAsuntos!G23),'Resol  Asuntos'!D23/NºAsuntos!G23," - ")</f>
        <v>0.13984273912610728</v>
      </c>
      <c r="AO23" s="1173">
        <f>IF(ISNUMBER((NºAsuntos!C23+NºAsuntos!E23)/NºAsuntos!G23),(NºAsuntos!C23+NºAsuntos!E23)/NºAsuntos!G23," - ")</f>
        <v>1.2044391360605156</v>
      </c>
      <c r="AP23" s="1174" t="str">
        <f t="shared" si="2"/>
        <v xml:space="preserve"> - </v>
      </c>
      <c r="AQ23" s="1174">
        <f>IF(ISNUMBER((H23-W23+K23)/(F23)),(H23-W23+K23)/(F23)," - ")</f>
        <v>-4.8583172147001932</v>
      </c>
      <c r="AR23" s="1175">
        <f>IF(ISNUMBER((Datos!P23-Datos!Q23)/(Datos!R23-Datos!P23+Datos!Q23)),(Datos!P23-Datos!Q23)/(Datos!R23-Datos!P23+Datos!Q23)," - ")</f>
        <v>9.2764378478664197E-3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2099</v>
      </c>
      <c r="G31" s="1118">
        <f t="shared" si="20"/>
        <v>1988</v>
      </c>
      <c r="H31" s="1117">
        <f t="shared" si="20"/>
        <v>0</v>
      </c>
      <c r="I31" s="1119">
        <f t="shared" si="20"/>
        <v>0</v>
      </c>
      <c r="J31" s="1119">
        <f t="shared" si="20"/>
        <v>0</v>
      </c>
      <c r="K31" s="1180">
        <f t="shared" si="20"/>
        <v>0</v>
      </c>
      <c r="L31" s="1119">
        <f t="shared" si="20"/>
        <v>2397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10116</v>
      </c>
      <c r="X31" s="1118">
        <f t="shared" si="21"/>
        <v>2477</v>
      </c>
      <c r="Y31" s="1125">
        <f t="shared" si="21"/>
        <v>12593</v>
      </c>
      <c r="Z31" s="1125">
        <f t="shared" si="21"/>
        <v>0</v>
      </c>
      <c r="AA31" s="1125">
        <f t="shared" si="21"/>
        <v>2270</v>
      </c>
      <c r="AB31" s="1125">
        <f t="shared" si="21"/>
        <v>7507</v>
      </c>
      <c r="AC31" s="1125">
        <f t="shared" si="21"/>
        <v>2879</v>
      </c>
      <c r="AD31" s="1125">
        <f t="shared" si="21"/>
        <v>0</v>
      </c>
      <c r="AE31" s="1127">
        <f t="shared" si="21"/>
        <v>0</v>
      </c>
      <c r="AF31" s="1128">
        <f t="shared" si="21"/>
        <v>0</v>
      </c>
      <c r="AG31" s="1129">
        <f t="shared" si="21"/>
        <v>0</v>
      </c>
      <c r="AH31" s="1127">
        <f t="shared" si="21"/>
        <v>0</v>
      </c>
      <c r="AI31" s="1117">
        <f t="shared" si="21"/>
        <v>2837</v>
      </c>
      <c r="AJ31" s="1117">
        <f t="shared" si="21"/>
        <v>0</v>
      </c>
      <c r="AK31" s="1127">
        <f t="shared" si="21"/>
        <v>0</v>
      </c>
      <c r="AL31" s="1183">
        <f>IF(ISNUMBER(NºAsuntos!G31/NºAsuntos!E31),NºAsuntos!G31/NºAsuntos!E31," - ")</f>
        <v>0.99399104118868131</v>
      </c>
      <c r="AM31" s="1184">
        <f>IF(ISNUMBER(((NºAsuntos!I31/NºAsuntos!G31)*11)/factor_trimestre),((NºAsuntos!I31/NºAsuntos!G31)*11)/factor_trimestre," - ")</f>
        <v>3.3079797757748959</v>
      </c>
      <c r="AN31" s="1184">
        <f>IF(ISNUMBER('Resol  Asuntos'!D31/NºAsuntos!G31),'Resol  Asuntos'!D31/NºAsuntos!G31," - ")</f>
        <v>0.15591338755770498</v>
      </c>
      <c r="AO31" s="1185">
        <f>IF(ISNUMBER((NºAsuntos!C31+NºAsuntos!E31)/NºAsuntos!G31),(NºAsuntos!C31+NºAsuntos!E31)/NºAsuntos!G31," - ")</f>
        <v>1.2859969224005277</v>
      </c>
      <c r="AP31" s="1186" t="str">
        <f t="shared" si="2"/>
        <v xml:space="preserve"> - </v>
      </c>
      <c r="AQ31" s="1187">
        <f>IF(OR(ISNUMBER(FIND("01",Criterios!A8,1)),ISNUMBER(FIND("02",Criterios!A8,1)),ISNUMBER(FIND("03",Criterios!A8,1)),ISNUMBER(FIND("04",Criterios!A8,1))),(I31-W31+K31)/(F31-K31),(H31-W31+K31)/(F31-K31))</f>
        <v>-4.8194378275369223</v>
      </c>
      <c r="AR31" s="1188">
        <f>IF(ISNUMBER((Datos!P31-Datos!Q31)/(Datos!R31-Datos!P31+Datos!Q31)),(Datos!P31-Datos!Q31)/(Datos!R31-Datos!P31+Datos!Q31)," - ")</f>
        <v>-1.0544352181362857E-2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3.5260102861466098</v>
      </c>
      <c r="F33" s="276">
        <f>IF(ISNUMBER(STDEV(F8:F30)),STDEV(F8:F30),"-")</f>
        <v>1059.997106914291</v>
      </c>
      <c r="G33" s="277">
        <f>IF(ISNUMBER(STDEV(G8:G30)),STDEV(G8:G30),"-")</f>
        <v>922.86943821973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4638.8591885752012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739.12259760185543</v>
      </c>
      <c r="AJ33" s="276">
        <f t="shared" si="25"/>
        <v>0</v>
      </c>
      <c r="AK33" s="278">
        <f t="shared" si="25"/>
        <v>0</v>
      </c>
      <c r="AL33" s="273">
        <f t="shared" si="25"/>
        <v>6.30363466672543E-2</v>
      </c>
      <c r="AM33" s="274">
        <f t="shared" si="25"/>
        <v>1.2604587361304576</v>
      </c>
      <c r="AN33" s="274">
        <f t="shared" si="25"/>
        <v>0.11127675986432629</v>
      </c>
      <c r="AO33" s="275">
        <f t="shared" si="25"/>
        <v>0.1165091178374348</v>
      </c>
      <c r="AP33" s="317" t="str">
        <f t="shared" si="25"/>
        <v>-</v>
      </c>
      <c r="AQ33" s="318">
        <f t="shared" si="25"/>
        <v>1.861466212125596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spQbKZGw1vkVS+bFNnG6SWorvQID5fq5ZUhX26d02qRf73QQ5nL23qCBKap8BcXza6JsqzMLCHMiyg7R9JHDXA==" saltValue="gDekjX+gtwTLZcpYFtCQ3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LEGANES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0.40909090909090912</v>
      </c>
      <c r="E10" s="393">
        <f>IF(ISNUMBER((Datos!J10-Datos!T10)/Datos!T10),(Datos!J10-Datos!T10)/Datos!T10," - ")</f>
        <v>-0.2</v>
      </c>
      <c r="F10" s="393">
        <f>IF(ISNUMBER((Datos!K10-Datos!U10)/Datos!U10),(Datos!K10-Datos!U10)/Datos!U10," - ")</f>
        <v>4.5454545454545456E-2</v>
      </c>
      <c r="G10" s="394">
        <f>IF(ISNUMBER((Datos!L10-Datos!V10)/Datos!V10),(Datos!L10-Datos!V10)/Datos!V10," - ")</f>
        <v>-0.29032258064516131</v>
      </c>
      <c r="H10" s="244">
        <f>IF(ISNUMBER((Datos!M10-Datos!W10)/Datos!W10),(Datos!M10-Datos!W10)/Datos!W10," - ")</f>
        <v>-0.12903225806451613</v>
      </c>
      <c r="I10" s="395">
        <f>IF(ISNUMBER((Tasas!C10-Datos!BE10)/Datos!BE10),(Tasas!C10-Datos!BE10)/Datos!BE10," - ")</f>
        <v>-0.32117812061711087</v>
      </c>
      <c r="J10" s="394">
        <f>IF(ISNUMBER((Tasas!D10-Datos!BF10)/Datos!BF10),(Tasas!D10-Datos!BF10)/Datos!BF10," - ")</f>
        <v>-0.16690042075736328</v>
      </c>
      <c r="K10" s="396">
        <f>IF(ISNUMBER((Tasas!E10-Datos!BG10)/Datos!BG10),(Tasas!E10-Datos!BG10)/Datos!BG10," - ")</f>
        <v>-0.10264455401165393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-6.830238726790451E-2</v>
      </c>
      <c r="I12" s="395">
        <f>IF(ISNUMBER((Tasas!C12-Datos!BE12)/Datos!BE12),(Tasas!C12-Datos!BE12)/Datos!BE12," - ")</f>
        <v>-8.0220891535386529E-2</v>
      </c>
      <c r="J12" s="394">
        <f>IF(ISNUMBER((Tasas!D12-Datos!BF12)/Datos!BF12),(Tasas!D12-Datos!BF12)/Datos!BF12," - ")</f>
        <v>-0.61033721688923637</v>
      </c>
      <c r="K12" s="396">
        <f>IF(ISNUMBER((Tasas!E12-Datos!BG12)/Datos!BG12),(Tasas!E12-Datos!BG12)/Datos!BG12," - ")</f>
        <v>-3.7461652604763793E-2</v>
      </c>
      <c r="M12" t="e">
        <f>IF(Monitorios="SI",Datos!CE12,0)</f>
        <v>#REF!</v>
      </c>
      <c r="N12" t="e">
        <f>IF(Monitorios="SI",Datos!CF12,0)</f>
        <v>#REF!</v>
      </c>
      <c r="O12" t="e">
        <f>IF(Monitorios="SI",Datos!CG12,0)</f>
        <v>#REF!</v>
      </c>
      <c r="P12" t="e">
        <f>IF(Monitorios="SI",Datos!CH12,0)</f>
        <v>#REF!</v>
      </c>
      <c r="Q12">
        <f>IF(J_V="SI",0,Datos!AG12)</f>
        <v>137</v>
      </c>
      <c r="R12">
        <f>IF(J_V="SI",0,Datos!AH12)</f>
        <v>958</v>
      </c>
      <c r="S12">
        <f>IF(J_V="SI",0,Datos!AI12)</f>
        <v>919</v>
      </c>
      <c r="T12">
        <f>IF(J_V="SI",0,Datos!AJ12)</f>
        <v>188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-6.9525666016894083E-2</v>
      </c>
      <c r="I14" s="402">
        <f>IF(ISNUMBER((Tasas!C14-Datos!BE14)/Datos!BE14),(Tasas!C14-Datos!BE14)/Datos!BE14," - ")</f>
        <v>-8.2493405712296644E-2</v>
      </c>
      <c r="J14" s="400">
        <f>IF(ISNUMBER((Tasas!D14-Datos!BF14)/Datos!BF14),(Tasas!D14-Datos!BF14)/Datos!BF14," - ")</f>
        <v>-0.60639946755230634</v>
      </c>
      <c r="K14" s="403">
        <f>IF(ISNUMBER((Tasas!E14-Datos!BG14)/Datos!BG14),(Tasas!E14-Datos!BG14)/Datos!BG14," - ")</f>
        <v>-3.8035965513285863E-2</v>
      </c>
      <c r="M14" t="e">
        <f>IF(Monitorios="SI",Datos!CE14,0)</f>
        <v>#REF!</v>
      </c>
      <c r="N14" t="e">
        <f>IF(Monitorios="SI",Datos!CF14,0)</f>
        <v>#REF!</v>
      </c>
      <c r="O14" t="e">
        <f>IF(Monitorios="SI",Datos!CG14,0)</f>
        <v>#REF!</v>
      </c>
      <c r="P14" t="e">
        <f>IF(Monitorios="SI",Datos!CH14,0)</f>
        <v>#REF!</v>
      </c>
      <c r="Q14">
        <f>IF(J_V="SI",0,Datos!AG14)</f>
        <v>137</v>
      </c>
      <c r="R14">
        <f>IF(J_V="SI",0,Datos!AH14)</f>
        <v>958</v>
      </c>
      <c r="S14">
        <f>IF(J_V="SI",0,Datos!AI14)</f>
        <v>919</v>
      </c>
      <c r="T14">
        <f>IF(J_V="SI",0,Datos!AJ14)</f>
        <v>188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0.12179104477611941</v>
      </c>
      <c r="E17" s="393">
        <f>IF(ISNUMBER(
   IF(D_I="SI",(Datos!J17-Datos!T17)/Datos!T17,(Datos!J17+Datos!AD17-(Datos!T17+Datos!AL17))/(Datos!T17+Datos!AL17))
     ),IF(D_I="SI",(Datos!J17-Datos!T17)/Datos!T17,(Datos!J17+Datos!AD17-(Datos!T17+Datos!AL17))/(Datos!T17+Datos!AL17))," - ")</f>
        <v>8.3660734920268084E-2</v>
      </c>
      <c r="F17" s="393">
        <f>IF(ISNUMBER(
   IF(D_I="SI",(Datos!K17-Datos!U17)/Datos!U17,(Datos!K17+Datos!AE17-(Datos!U17+Datos!AM17))/(Datos!U17+Datos!AM17))
     ),IF(D_I="SI",(Datos!K17-Datos!U17)/Datos!U17,(Datos!K17+Datos!AE17-(Datos!U17+Datos!AM17))/(Datos!U17+Datos!AM17))," - ")</f>
        <v>3.8396955110265307E-2</v>
      </c>
      <c r="G17" s="394">
        <f>IF(ISNUMBER(
   IF(D_I="SI",(Datos!L17-Datos!V17)/Datos!V17,(Datos!L17+Datos!AF17-(Datos!V17+Datos!AN17))/(Datos!V17+Datos!AN17))
     ),IF(D_I="SI",(Datos!L17-Datos!V17)/Datos!V17,(Datos!L17+Datos!AF17-(Datos!V17+Datos!AN17))/(Datos!V17+Datos!AN17))," - ")</f>
        <v>0.15486961149547632</v>
      </c>
      <c r="H17" s="244">
        <f>IF(ISNUMBER((Datos!M17-Datos!W17)/Datos!W17),(Datos!M17-Datos!W17)/Datos!W17," - ")</f>
        <v>-6.3404548587181253E-2</v>
      </c>
      <c r="I17" s="395">
        <f>IF(ISNUMBER((Tasas!C17-Datos!BE17)/Datos!BE17),(Tasas!C17-Datos!BE17)/Datos!BE17," - ")</f>
        <v>0.11216583004410194</v>
      </c>
      <c r="J17" s="394">
        <f>IF(ISNUMBER((Tasas!D17-Datos!BF17)/Datos!BF17),(Tasas!D17-Datos!BF17)/Datos!BF17," - ")</f>
        <v>-9.8037174701303312E-2</v>
      </c>
      <c r="K17" s="396">
        <f>IF(ISNUMBER((Tasas!E17-Datos!BG17)/Datos!BG17),(Tasas!E17-Datos!BG17)/Datos!BG17," - ")</f>
        <v>4.954480347745055E-2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-0.17894736842105263</v>
      </c>
      <c r="E18" s="393">
        <f>IF(ISNUMBER(
   IF(D_I="SI",(Datos!J18-Datos!T18)/Datos!T18,(Datos!J18+Datos!AD18-(Datos!T18+Datos!AL18))/(Datos!T18+Datos!AL18))
     ),IF(D_I="SI",(Datos!J18-Datos!T18)/Datos!T18,(Datos!J18+Datos!AD18-(Datos!T18+Datos!AL18))/(Datos!T18+Datos!AL18))," - ")</f>
        <v>6.0941828254847646E-2</v>
      </c>
      <c r="F18" s="393">
        <f>IF(ISNUMBER(
   IF(D_I="SI",(Datos!K18-Datos!U18)/Datos!U18,(Datos!K18+Datos!AE18-(Datos!U18+Datos!AM18))/(Datos!U18+Datos!AM18))
     ),IF(D_I="SI",(Datos!K18-Datos!U18)/Datos!U18,(Datos!K18+Datos!AE18-(Datos!U18+Datos!AM18))/(Datos!U18+Datos!AM18))," - ")</f>
        <v>3.7685060565275909E-2</v>
      </c>
      <c r="G18" s="394">
        <f>IF(ISNUMBER(
   IF(D_I="SI",(Datos!L18-Datos!V18)/Datos!V18,(Datos!L18+Datos!AF18-(Datos!V18+Datos!AN18))/(Datos!V18+Datos!AN18))
     ),IF(D_I="SI",(Datos!L18-Datos!V18)/Datos!V18,(Datos!L18+Datos!AF18-(Datos!V18+Datos!AN18))/(Datos!V18+Datos!AN18))," - ")</f>
        <v>0</v>
      </c>
      <c r="H18" s="244">
        <f>IF(ISNUMBER((Datos!M18-Datos!W18)/Datos!W18),(Datos!M18-Datos!W18)/Datos!W18," - ")</f>
        <v>1.0909090909090908</v>
      </c>
      <c r="I18" s="395">
        <f>IF(ISNUMBER((Tasas!C18-Datos!BE18)/Datos!BE18),(Tasas!C18-Datos!BE18)/Datos!BE18," - ")</f>
        <v>-3.6316472114137445E-2</v>
      </c>
      <c r="J18" s="394">
        <f>IF(ISNUMBER((Tasas!D18-Datos!BF18)/Datos!BF18),(Tasas!D18-Datos!BF18)/Datos!BF18," - ")</f>
        <v>1.0149746492158944</v>
      </c>
      <c r="K18" s="396">
        <f>IF(ISNUMBER((Tasas!E18-Datos!BG18)/Datos!BG18),(Tasas!E18-Datos!BG18)/Datos!BG18," - ")</f>
        <v>-4.4689136650328974E-3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0.10564971751412429</v>
      </c>
      <c r="E23" s="399">
        <f>IF(ISNUMBER(
   IF(D_I="SI",(Datos!J23-Datos!T23)/Datos!T23,(Datos!J23+Datos!AD23-(Datos!T23+Datos!AL23))/(Datos!T23+Datos!AL23))
     ),IF(D_I="SI",(Datos!J23-Datos!T23)/Datos!T23,(Datos!J23+Datos!AD23-(Datos!T23+Datos!AL23))/(Datos!T23+Datos!AL23))," - ")</f>
        <v>8.191126279863481E-2</v>
      </c>
      <c r="F23" s="399">
        <f>IF(ISNUMBER(
   IF(D_I="SI",(Datos!K23-Datos!U23)/Datos!U23,(Datos!K23+Datos!AE23-(Datos!U23+Datos!AM23))/(Datos!U23+Datos!AM23))
     ),IF(D_I="SI",(Datos!K23-Datos!U23)/Datos!U23,(Datos!K23+Datos!AE23-(Datos!U23+Datos!AM23))/(Datos!U23+Datos!AM23))," - ")</f>
        <v>3.8342290202563044E-2</v>
      </c>
      <c r="G23" s="400">
        <f>IF(ISNUMBER(
   IF(D_I="SI",(Datos!L23-Datos!V23)/Datos!V23,(Datos!L23+Datos!AF23-(Datos!V23+Datos!AN23))/(Datos!V23+Datos!AN23))
     ),IF(D_I="SI",(Datos!L23-Datos!V23)/Datos!V23,(Datos!L23+Datos!AF23-(Datos!V23+Datos!AN23))/(Datos!V23+Datos!AN23))," - ")</f>
        <v>0.14869698518140009</v>
      </c>
      <c r="H23" s="401">
        <f>IF(ISNUMBER((Datos!M23-Datos!W23)/Datos!W23),(Datos!M23-Datos!W23)/Datos!W23," - ")</f>
        <v>-4.6164290563475902E-2</v>
      </c>
      <c r="I23" s="402">
        <f>IF(ISNUMBER((Tasas!C23-Datos!BE23)/Datos!BE23),(Tasas!C23-Datos!BE23)/Datos!BE23," - ")</f>
        <v>0.10627968832638873</v>
      </c>
      <c r="J23" s="400">
        <f>IF(ISNUMBER((Tasas!D23-Datos!BF23)/Datos!BF23),(Tasas!D23-Datos!BF23)/Datos!BF23," - ")</f>
        <v>-8.1386053099650982E-2</v>
      </c>
      <c r="K23" s="403">
        <f>IF(ISNUMBER((Tasas!E23-Datos!BG23)/Datos!BG23),(Tasas!E23-Datos!BG23)/Datos!BG23," - ")</f>
        <v>4.559062269168751E-2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8.7128712871287137E-3</v>
      </c>
      <c r="E31" s="409">
        <f>IF(ISNUMBER(
   IF(J_V="SI",(Datos!J31-Datos!T31)/Datos!T31,(Datos!J31+Datos!Z31-(Datos!T31+Datos!AH31))/(Datos!T31+Datos!AH31))
     ),IF(J_V="SI",(Datos!J31-Datos!T31)/Datos!T31,(Datos!J31+Datos!Z31-(Datos!T31+Datos!AH31))/(Datos!T31+Datos!AH31))," - ")</f>
        <v>0.10396815824387891</v>
      </c>
      <c r="F31" s="409">
        <f>IF(ISNUMBER(
   IF(J_V="SI",(Datos!K31-Datos!U31)/Datos!U31,(Datos!K31+Datos!AA31-(Datos!U31+Datos!AI31))/(Datos!U31+Datos!AI31))
     ),IF(J_V="SI",(Datos!K31-Datos!U31)/Datos!U31,(Datos!K31+Datos!AA31-(Datos!U31+Datos!AI31))/(Datos!U31+Datos!AI31))," - ")</f>
        <v>7.3446994277623745E-2</v>
      </c>
      <c r="G31" s="410">
        <f>IF(ISNUMBER(
   IF(J_V="SI",(Datos!L31-Datos!V31)/Datos!V31,(Datos!L31+Datos!AB31-(Datos!V31+Datos!AJ31))/(Datos!V31+Datos!AJ31))
     ),IF(J_V="SI",(Datos!L31-Datos!V31)/Datos!V31,(Datos!L31+Datos!AB31-(Datos!V31+Datos!AJ31))/(Datos!V31+Datos!AJ31))," - ")</f>
        <v>7.4204946996466431E-2</v>
      </c>
      <c r="H31" s="411">
        <f>IF(ISNUMBER((Datos!M31-Datos!W31)/Datos!W31),(Datos!M31-Datos!W31)/Datos!W31," - ")</f>
        <v>-5.8100929614873835E-2</v>
      </c>
      <c r="I31" s="408">
        <f>IF(ISNUMBER((Tasas!C31-Datos!BE31)/Datos!BE31),(Tasas!C31-Datos!BE31)/Datos!BE31," - ")</f>
        <v>7.0609235750188873E-4</v>
      </c>
      <c r="J31" s="409">
        <f>IF(ISNUMBER((Tasas!D31-Datos!BF31)/Datos!BF31),(Tasas!D31-Datos!BF31)/Datos!BF31," - ")</f>
        <v>-0.44018474211170155</v>
      </c>
      <c r="K31" s="410">
        <f>IF(ISNUMBER((Tasas!E31-Datos!BG31)/Datos!BG31),(Tasas!E31-Datos!BG31)/Datos!BG31," - ")</f>
        <v>7.7169855589563777E-3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0.24015731329363346</v>
      </c>
      <c r="E33" s="303">
        <f t="shared" si="1"/>
        <v>0.13813849841103693</v>
      </c>
      <c r="F33" s="303">
        <f t="shared" si="1"/>
        <v>3.6708353337837601E-3</v>
      </c>
      <c r="G33" s="304">
        <f t="shared" si="1"/>
        <v>0.20843763240603599</v>
      </c>
      <c r="H33" s="310">
        <f t="shared" si="1"/>
        <v>0.4769280903632856</v>
      </c>
      <c r="I33" s="302">
        <f t="shared" si="1"/>
        <v>0.15900598410595945</v>
      </c>
      <c r="J33" s="303">
        <f t="shared" si="1"/>
        <v>0.59404204891047829</v>
      </c>
      <c r="K33" s="304">
        <f t="shared" si="1"/>
        <v>5.7730141758387345E-2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VUW75ev7a4JlfsC/vrHAevyqf8d773q9qPwBWymqjMLDMlUjzU06XjP+ATCLUEIb98QV0wnB11MMIeMgWA6Cg==" saltValue="CmjtrmvLQ6nRl4PXlJ/3+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